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ner\Downloads\"/>
    </mc:Choice>
  </mc:AlternateContent>
  <xr:revisionPtr revIDLastSave="0" documentId="13_ncr:1_{E8C2F6C6-4A47-46EB-8961-1C4796E2EE29}" xr6:coauthVersionLast="45" xr6:coauthVersionMax="45" xr10:uidLastSave="{00000000-0000-0000-0000-000000000000}"/>
  <bookViews>
    <workbookView xWindow="-110" yWindow="-110" windowWidth="19420" windowHeight="10420" xr2:uid="{948CFC41-6769-41C9-B2FF-79D8076E83C7}"/>
  </bookViews>
  <sheets>
    <sheet name="Uitwerking toets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94" i="3" l="1"/>
  <c r="H198" i="3"/>
  <c r="I199" i="3"/>
  <c r="H203" i="3"/>
  <c r="I204" i="3" s="1"/>
  <c r="G232" i="3" s="1"/>
  <c r="G233" i="3" s="1"/>
  <c r="H208" i="3"/>
  <c r="I209" i="3"/>
  <c r="I210" i="3"/>
  <c r="G254" i="3" s="1"/>
  <c r="I211" i="3"/>
  <c r="G259" i="3" s="1"/>
  <c r="I217" i="3"/>
  <c r="H221" i="3"/>
  <c r="I222" i="3" s="1"/>
  <c r="G231" i="3"/>
  <c r="G236" i="3"/>
  <c r="G248" i="3"/>
  <c r="G249" i="3"/>
  <c r="G250" i="3"/>
  <c r="G253" i="3"/>
  <c r="G263" i="3"/>
  <c r="G264" i="3"/>
  <c r="G265" i="3" s="1"/>
  <c r="I275" i="3" s="1"/>
  <c r="I291" i="3" s="1"/>
  <c r="F278" i="3"/>
  <c r="F279" i="3"/>
  <c r="B289" i="3"/>
  <c r="H293" i="3"/>
  <c r="H306" i="3"/>
  <c r="H307" i="3"/>
  <c r="H312" i="3"/>
  <c r="I313" i="3" s="1"/>
  <c r="G343" i="3" s="1"/>
  <c r="G344" i="3" s="1"/>
  <c r="H317" i="3"/>
  <c r="I318" i="3"/>
  <c r="I319" i="3"/>
  <c r="H323" i="3"/>
  <c r="G353" i="3" s="1"/>
  <c r="H326" i="3"/>
  <c r="I327" i="3"/>
  <c r="I330" i="3"/>
  <c r="H329" i="3" s="1"/>
  <c r="I331" i="3"/>
  <c r="I336" i="3"/>
  <c r="H335" i="3" s="1"/>
  <c r="H338" i="3"/>
  <c r="I339" i="3" s="1"/>
  <c r="G347" i="3" s="1"/>
  <c r="G348" i="3" s="1"/>
  <c r="C342" i="3"/>
  <c r="G342" i="3"/>
  <c r="C343" i="3"/>
  <c r="C346" i="3"/>
  <c r="G346" i="3"/>
  <c r="C347" i="3"/>
  <c r="C353" i="3"/>
  <c r="C354" i="3"/>
  <c r="G354" i="3"/>
  <c r="C355" i="3"/>
  <c r="G355" i="3"/>
  <c r="E367" i="3"/>
  <c r="D370" i="3"/>
  <c r="D373" i="3"/>
  <c r="G356" i="3" l="1"/>
  <c r="G255" i="3"/>
  <c r="H273" i="3" s="1"/>
  <c r="I324" i="3"/>
  <c r="I308" i="3"/>
  <c r="G258" i="3"/>
  <c r="G260" i="3" s="1"/>
  <c r="H274" i="3" s="1"/>
  <c r="G350" i="3"/>
  <c r="G268" i="3"/>
  <c r="I276" i="3" s="1"/>
  <c r="I364" i="3"/>
  <c r="H363" i="3"/>
  <c r="H215" i="3"/>
  <c r="H272" i="3"/>
  <c r="H290" i="3" s="1"/>
  <c r="H294" i="3" s="1"/>
  <c r="H226" i="3"/>
  <c r="I216" i="3"/>
  <c r="E80" i="3"/>
  <c r="M80" i="3" s="1"/>
  <c r="D84" i="3"/>
  <c r="D85" i="3"/>
  <c r="B89" i="3"/>
  <c r="H108" i="3" s="1"/>
  <c r="E92" i="3"/>
  <c r="I114" i="3" s="1"/>
  <c r="G124" i="3" s="1"/>
  <c r="H97" i="3"/>
  <c r="D117" i="3" s="1"/>
  <c r="I109" i="3"/>
  <c r="N124" i="3" s="1"/>
  <c r="D131" i="3"/>
  <c r="D132" i="3"/>
  <c r="D133" i="3"/>
  <c r="I157" i="3" s="1"/>
  <c r="E171" i="3" s="1"/>
  <c r="E136" i="3"/>
  <c r="I136" i="3" s="1"/>
  <c r="C139" i="3"/>
  <c r="H161" i="3" s="1"/>
  <c r="E142" i="3"/>
  <c r="E143" i="3"/>
  <c r="D146" i="3"/>
  <c r="H150" i="3"/>
  <c r="E170" i="3" s="1"/>
  <c r="I162" i="3"/>
  <c r="E176" i="3" s="1"/>
  <c r="H166" i="3"/>
  <c r="I167" i="3"/>
  <c r="I58" i="3"/>
  <c r="H57" i="3"/>
  <c r="E50" i="3"/>
  <c r="D12" i="3"/>
  <c r="H25" i="3"/>
  <c r="H24" i="3"/>
  <c r="H23" i="3"/>
  <c r="H22" i="3"/>
  <c r="D19" i="3"/>
  <c r="D86" i="3" l="1"/>
  <c r="H113" i="3"/>
  <c r="E172" i="3"/>
  <c r="H180" i="3" s="1"/>
  <c r="F280" i="3"/>
  <c r="F281" i="3" s="1"/>
  <c r="I227" i="3"/>
  <c r="G237" i="3" s="1"/>
  <c r="G238" i="3" s="1"/>
  <c r="G240" i="3" s="1"/>
  <c r="I360" i="3"/>
  <c r="H359" i="3"/>
  <c r="H103" i="3"/>
  <c r="I104" i="3"/>
  <c r="N117" i="3" s="1"/>
  <c r="H118" i="3" s="1"/>
  <c r="D124" i="3"/>
  <c r="H125" i="3" s="1"/>
  <c r="H156" i="3"/>
  <c r="E175" i="3" s="1"/>
  <c r="E177" i="3" s="1"/>
  <c r="H181" i="3" s="1"/>
  <c r="I182" i="3" s="1"/>
  <c r="I286" i="3" l="1"/>
  <c r="I289" i="3" s="1"/>
  <c r="H285" i="3"/>
  <c r="H243" i="3"/>
  <c r="I244" i="3" s="1"/>
  <c r="I292" i="3"/>
  <c r="N68" i="3"/>
  <c r="E49" i="3"/>
  <c r="E51" i="3" s="1"/>
  <c r="E46" i="3"/>
  <c r="M46" i="3" s="1"/>
  <c r="D29" i="3"/>
  <c r="N36" i="3"/>
  <c r="D11" i="3"/>
  <c r="D13" i="3" s="1"/>
  <c r="J2" i="3"/>
  <c r="J5" i="3" s="1"/>
  <c r="E2" i="3"/>
  <c r="I294" i="3" l="1"/>
  <c r="I296" i="3" s="1"/>
  <c r="L2" i="3"/>
  <c r="H54" i="3"/>
  <c r="D68" i="3" s="1"/>
  <c r="H69" i="3" s="1"/>
  <c r="I75" i="3" s="1"/>
  <c r="I55" i="3"/>
  <c r="N61" i="3" s="1"/>
  <c r="H62" i="3" s="1"/>
  <c r="H73" i="3" s="1"/>
  <c r="E5" i="3"/>
  <c r="I26" i="3"/>
  <c r="H16" i="3"/>
  <c r="D36" i="3" s="1"/>
  <c r="H37" i="3" s="1"/>
  <c r="I17" i="3"/>
  <c r="N29" i="3" s="1"/>
  <c r="H30" i="3" s="1"/>
  <c r="I74" i="3" l="1"/>
  <c r="L5" i="3"/>
  <c r="E42" i="3"/>
</calcChain>
</file>

<file path=xl/sharedStrings.xml><?xml version="1.0" encoding="utf-8"?>
<sst xmlns="http://schemas.openxmlformats.org/spreadsheetml/2006/main" count="549" uniqueCount="231">
  <si>
    <t>Debiteuren</t>
  </si>
  <si>
    <t>Te betalen OB</t>
  </si>
  <si>
    <t>Overboekingsrekening</t>
  </si>
  <si>
    <t>Kosten afdeling Huisvesting</t>
  </si>
  <si>
    <t>Budget afdeling Huisvesting</t>
  </si>
  <si>
    <t>Te dekken budget afdeling Huisvesting</t>
  </si>
  <si>
    <t>Kosten afdeling Inkoop</t>
  </si>
  <si>
    <t>Kosten afdeling Magazijn</t>
  </si>
  <si>
    <t xml:space="preserve">Kosten afdeling Fabricage </t>
  </si>
  <si>
    <t xml:space="preserve">Budget afdeling Fabricage </t>
  </si>
  <si>
    <t xml:space="preserve">Te dekken budget afdeling Fabricage </t>
  </si>
  <si>
    <t xml:space="preserve">Dekking afdeling Fabricage </t>
  </si>
  <si>
    <t>Kosten afdeling Verkoop</t>
  </si>
  <si>
    <t>Directe grondstofkosten</t>
  </si>
  <si>
    <t>Toeslag indirecte fabricagekosten</t>
  </si>
  <si>
    <t>Standaard directe grondstofkosten</t>
  </si>
  <si>
    <t>Betaalde directe lonen</t>
  </si>
  <si>
    <t>Verrekende directe lonen</t>
  </si>
  <si>
    <t>Voorraad gereed product</t>
  </si>
  <si>
    <t>Kostprijs verkopen</t>
  </si>
  <si>
    <t>Bezettingsresultaat</t>
  </si>
  <si>
    <t>Prijsverschil directe lonen</t>
  </si>
  <si>
    <t>Bezettingsresultaten</t>
  </si>
  <si>
    <t>Opgave: 1</t>
  </si>
  <si>
    <t>=</t>
  </si>
  <si>
    <t>C</t>
  </si>
  <si>
    <t>N</t>
  </si>
  <si>
    <t>Maandelijks</t>
  </si>
  <si>
    <t>+</t>
  </si>
  <si>
    <t>V</t>
  </si>
  <si>
    <t>W</t>
  </si>
  <si>
    <t>a/ 499</t>
  </si>
  <si>
    <t>Debet</t>
  </si>
  <si>
    <t>Credit</t>
  </si>
  <si>
    <t>Grootboekrekening</t>
  </si>
  <si>
    <t>(€300.000/12)</t>
  </si>
  <si>
    <t>Gemengd budget</t>
  </si>
  <si>
    <t>a/501</t>
  </si>
  <si>
    <t xml:space="preserve">Dekking Huisvesting= </t>
  </si>
  <si>
    <t>a/503</t>
  </si>
  <si>
    <t xml:space="preserve">Dekking afdeling Huisvesting </t>
  </si>
  <si>
    <t>500 Kosten afdeling Huisvesting</t>
  </si>
  <si>
    <t>D</t>
  </si>
  <si>
    <t>503 Dekking afdeling Huisvesting</t>
  </si>
  <si>
    <t>501 Budget afdeling Huisvesting</t>
  </si>
  <si>
    <t>502 Te dekken budget afdeling Huisvesting</t>
  </si>
  <si>
    <t xml:space="preserve">Budgetresultaat </t>
  </si>
  <si>
    <t>Verlies</t>
  </si>
  <si>
    <t>Normaal</t>
  </si>
  <si>
    <t>Werkelijk</t>
  </si>
  <si>
    <t>Bezettingsresultaat= (W-N)x C/N</t>
  </si>
  <si>
    <t>verlies</t>
  </si>
  <si>
    <t>Opgave: 2</t>
  </si>
  <si>
    <t>Vast budget</t>
  </si>
  <si>
    <t>Variabel  budget</t>
  </si>
  <si>
    <t xml:space="preserve">Vast budget </t>
  </si>
  <si>
    <t xml:space="preserve">Variabel  budget </t>
  </si>
  <si>
    <t>a/551</t>
  </si>
  <si>
    <t>Te dekken budget afdeling Fabricage</t>
  </si>
  <si>
    <t>a/553</t>
  </si>
  <si>
    <t>Toeslag indirecte Fabricagekosten</t>
  </si>
  <si>
    <t>550 Kosten afdeling Fabricage</t>
  </si>
  <si>
    <t>552 Te dekken budget afdeling Fabricage</t>
  </si>
  <si>
    <t>551 Budget afdeling Fabricage</t>
  </si>
  <si>
    <t>553 Dekking afdeling Fabricage</t>
  </si>
  <si>
    <t>(Debetsaldo)</t>
  </si>
  <si>
    <t>a/599</t>
  </si>
  <si>
    <t>a/935</t>
  </si>
  <si>
    <t xml:space="preserve">Budgetresultaten </t>
  </si>
  <si>
    <t>Winst</t>
  </si>
  <si>
    <t>Opgave: 3</t>
  </si>
  <si>
    <t>a/499</t>
  </si>
  <si>
    <t>1,3,4</t>
  </si>
  <si>
    <t>Het budget</t>
  </si>
  <si>
    <t>De dekking</t>
  </si>
  <si>
    <t>Variabel budget</t>
  </si>
  <si>
    <t xml:space="preserve">Gemengd budget </t>
  </si>
  <si>
    <t>De seizoencorrectie</t>
  </si>
  <si>
    <t>a/523</t>
  </si>
  <si>
    <t>Dekking hulpkostenplaatsen</t>
  </si>
  <si>
    <t>De werkelijke kosten</t>
  </si>
  <si>
    <t xml:space="preserve">Het budget </t>
  </si>
  <si>
    <t>a/552</t>
  </si>
  <si>
    <t>Seiziencorrecties</t>
  </si>
  <si>
    <t>551 Budget afdeling  Fabricage</t>
  </si>
  <si>
    <t>552 Te dekken budget afdeling  Fabricage</t>
  </si>
  <si>
    <t>553 Dekking afdeling  Fabricage</t>
  </si>
  <si>
    <t>(€312.000/4)</t>
  </si>
  <si>
    <t>Tarief</t>
  </si>
  <si>
    <t>Dekking</t>
  </si>
  <si>
    <t>Gemiddelde machine uur</t>
  </si>
  <si>
    <t xml:space="preserve">Seizoencorrectie </t>
  </si>
  <si>
    <t>dekking</t>
  </si>
  <si>
    <t>De kosten</t>
  </si>
  <si>
    <t>Dekkinghulpkostenplaats</t>
  </si>
  <si>
    <t>Seizoencorrecties</t>
  </si>
  <si>
    <t>a/175</t>
  </si>
  <si>
    <t>Budgetresultaat</t>
  </si>
  <si>
    <t>-</t>
  </si>
  <si>
    <t xml:space="preserve">Bezettingsresultaat </t>
  </si>
  <si>
    <t>Fabricage</t>
  </si>
  <si>
    <t>Verkoop</t>
  </si>
  <si>
    <t>a/610</t>
  </si>
  <si>
    <t>a/612</t>
  </si>
  <si>
    <t>a/611</t>
  </si>
  <si>
    <t xml:space="preserve">Voorraad gereed product </t>
  </si>
  <si>
    <t>a/181</t>
  </si>
  <si>
    <t>a/700</t>
  </si>
  <si>
    <t>a/563</t>
  </si>
  <si>
    <t>Directe lonen</t>
  </si>
  <si>
    <t>De overboeking van rubriek 4</t>
  </si>
  <si>
    <t>Variabele kosten afdeling fabricage</t>
  </si>
  <si>
    <t>Variabele kosten afdeling verkoop</t>
  </si>
  <si>
    <t>Constante kosten</t>
  </si>
  <si>
    <t>Machine uren</t>
  </si>
  <si>
    <t>a/631</t>
  </si>
  <si>
    <t>Toeslag variabele fabricagekosten</t>
  </si>
  <si>
    <t>Dekking variabele kosten afdeling fabricage</t>
  </si>
  <si>
    <t>Arbeidsuren</t>
  </si>
  <si>
    <t>Productie Gallix</t>
  </si>
  <si>
    <t>Standaard directe lonen</t>
  </si>
  <si>
    <t>Standaard toeslag variabele fabricagekosten</t>
  </si>
  <si>
    <t>a/840</t>
  </si>
  <si>
    <t xml:space="preserve">Voorraad gereed producten </t>
  </si>
  <si>
    <t>Toeslag variabele verkoopkosten</t>
  </si>
  <si>
    <t>Dekking variabele kosten afdeling verkoop</t>
  </si>
  <si>
    <t>Opbrengst verkopen</t>
  </si>
  <si>
    <t>Afdelingresultaten:</t>
  </si>
  <si>
    <t>Overboeking</t>
  </si>
  <si>
    <t>a/930</t>
  </si>
  <si>
    <t>Afdelingsresultaten</t>
  </si>
  <si>
    <t>Efficiencyresultaten</t>
  </si>
  <si>
    <t>Grondstoffen</t>
  </si>
  <si>
    <t>Variabele fabricagekosten</t>
  </si>
  <si>
    <t>Resultaat rubriek 6</t>
  </si>
  <si>
    <t>Journaalpost resultaat rubriek 6</t>
  </si>
  <si>
    <t>a/921</t>
  </si>
  <si>
    <t>a699</t>
  </si>
  <si>
    <t>Efficiencyresultaat op grondstoffen</t>
  </si>
  <si>
    <t>Efficiencyresultaat op directe lonen</t>
  </si>
  <si>
    <t>Efficiencyresultaat op variabele</t>
  </si>
  <si>
    <t>Prijsverschil op directe lonen</t>
  </si>
  <si>
    <t>A</t>
  </si>
  <si>
    <t>Uitwerking</t>
  </si>
  <si>
    <t>B</t>
  </si>
  <si>
    <t>E</t>
  </si>
  <si>
    <t>F</t>
  </si>
  <si>
    <t>Toelichting</t>
  </si>
  <si>
    <t>G</t>
  </si>
  <si>
    <t>H</t>
  </si>
  <si>
    <t xml:space="preserve">Opbrengst verkopen </t>
  </si>
  <si>
    <t xml:space="preserve">Kostprijs verkopen </t>
  </si>
  <si>
    <t xml:space="preserve">Dekkingsbijdrage </t>
  </si>
  <si>
    <t>a/945</t>
  </si>
  <si>
    <t xml:space="preserve">Overboekingsrekening </t>
  </si>
  <si>
    <t>Dekkingsbijdrage</t>
  </si>
  <si>
    <t xml:space="preserve">Winst- en verliesrekening </t>
  </si>
  <si>
    <t>Prijsverschillen</t>
  </si>
  <si>
    <t>Bedrijfsresultaat</t>
  </si>
  <si>
    <t>Totaal</t>
  </si>
  <si>
    <t>a/555</t>
  </si>
  <si>
    <t>Standaard grondstoffenverbruik</t>
  </si>
  <si>
    <t>a/545</t>
  </si>
  <si>
    <t>a/605</t>
  </si>
  <si>
    <t>a/615</t>
  </si>
  <si>
    <t>a/850</t>
  </si>
  <si>
    <t xml:space="preserve">Direct grondstoffenverbruik </t>
  </si>
  <si>
    <t>Kosten fabricageafdeling</t>
  </si>
  <si>
    <t>Kosten verkoopafdeling</t>
  </si>
  <si>
    <t>Toeslag indirecte variabele fabricagekosten</t>
  </si>
  <si>
    <t>Gebudgetteerde kosten</t>
  </si>
  <si>
    <t>Standaardtoeslag indirecte variabele fabricagekosten</t>
  </si>
  <si>
    <t>Voorraad gereed prodcut</t>
  </si>
  <si>
    <t>Gebudgetteerde kosten verkoopafdeling</t>
  </si>
  <si>
    <t>Gebudgetteerde vaste kosten</t>
  </si>
  <si>
    <t xml:space="preserve">Gebudgetteerde kosten fabricageafdeling </t>
  </si>
  <si>
    <t>Gebudgetteerde kosten verkoop afdeling</t>
  </si>
  <si>
    <t>Rubriek 8</t>
  </si>
  <si>
    <t>Rubriek 5</t>
  </si>
  <si>
    <t>a/940</t>
  </si>
  <si>
    <t>Fabricageafdeling</t>
  </si>
  <si>
    <t>Verkoopafdeling</t>
  </si>
  <si>
    <t>(1000*12)</t>
  </si>
  <si>
    <t>(600*12)</t>
  </si>
  <si>
    <t>(3000*12)</t>
  </si>
  <si>
    <t>(700*12)</t>
  </si>
  <si>
    <t>(1000+600+3000+700=5300)</t>
  </si>
  <si>
    <t>100+30=</t>
  </si>
  <si>
    <t>(4.200*30)</t>
  </si>
  <si>
    <t>(2.000*100)</t>
  </si>
  <si>
    <t>(4.200*100)</t>
  </si>
  <si>
    <t>(450*€58)</t>
  </si>
  <si>
    <t>(300*€20)</t>
  </si>
  <si>
    <t>(300*€78)</t>
  </si>
  <si>
    <t>winst</t>
  </si>
  <si>
    <t>(6.750*20)</t>
  </si>
  <si>
    <t>(25.000/4)</t>
  </si>
  <si>
    <t>(1500*12)</t>
  </si>
  <si>
    <t>(1,25*6250)</t>
  </si>
  <si>
    <t>(6.750*€9)</t>
  </si>
  <si>
    <t>(€280.000+€60.520)</t>
  </si>
  <si>
    <t>(13200*€25)</t>
  </si>
  <si>
    <t>(10,000*€10)</t>
  </si>
  <si>
    <t>(3.500*€190)</t>
  </si>
  <si>
    <t>(3.500*€60)</t>
  </si>
  <si>
    <t>(3.500*€100)</t>
  </si>
  <si>
    <t>(3.500*€30)</t>
  </si>
  <si>
    <t>(4.200*€320)</t>
  </si>
  <si>
    <t>(21/100*€1,344.000)</t>
  </si>
  <si>
    <t>Verkocht op rekening 4.200 eenheden</t>
  </si>
  <si>
    <t>Afgeleverd 4.200 eenheden</t>
  </si>
  <si>
    <t>(3/100*€1.344.000)</t>
  </si>
  <si>
    <t>€60.000+€110.000</t>
  </si>
  <si>
    <t>€30.000+€52.000</t>
  </si>
  <si>
    <t>5.020*€15</t>
  </si>
  <si>
    <t>2.950*€70</t>
  </si>
  <si>
    <t>2.950*€40</t>
  </si>
  <si>
    <t>2.950*€30</t>
  </si>
  <si>
    <t>2.900*€70</t>
  </si>
  <si>
    <t>2.900*€10</t>
  </si>
  <si>
    <t>2.900*€200</t>
  </si>
  <si>
    <t>0,21*€580.000</t>
  </si>
  <si>
    <t>€2.200.000/12</t>
  </si>
  <si>
    <t>€5.800.000/12</t>
  </si>
  <si>
    <t>(5.020-4.000)x€38 =</t>
  </si>
  <si>
    <t>(€580.000-€203.000)*0,10=</t>
  </si>
  <si>
    <t>Opgave 4</t>
  </si>
  <si>
    <t>Strategisch plan</t>
  </si>
  <si>
    <t>Constante en variabele kosten</t>
  </si>
  <si>
    <t>Het verschil is dat je bij direct costing ga je uit van variabele kosten. En period costing neem je de kostprijs en ga je uit van een periode.</t>
  </si>
  <si>
    <t>Als de productie en afzet in een periode niet gelijk zijn, is er sprake van voorraadmutatie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</si>
</sst>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€&quot;\ #,##0;[Red]&quot;€&quot;\ \-#,##0"/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_ &quot;€&quot;\ * #,##0_ ;_ &quot;€&quot;\ * \-#,##0_ ;_ &quot;€&quot;\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 val="singleAccounting"/>
      <sz val="1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1" fillId="4" borderId="0" applyNumberFormat="0" applyBorder="0" applyAlignment="0" applyProtection="0"/>
    <xf numFmtId="43" fontId="1" fillId="0" borderId="0" applyFont="0" applyFill="0" applyBorder="0" applyAlignment="0" applyProtection="0"/>
  </cellStyleXfs>
  <cellXfs count="141">
    <xf numFmtId="0" fontId="0" fillId="0" borderId="0" xfId="0"/>
    <xf numFmtId="0" fontId="3" fillId="3" borderId="0" xfId="3" applyFont="1"/>
    <xf numFmtId="0" fontId="3" fillId="0" borderId="6" xfId="0" applyFont="1" applyBorder="1"/>
    <xf numFmtId="0" fontId="4" fillId="0" borderId="4" xfId="0" applyFont="1" applyBorder="1"/>
    <xf numFmtId="0" fontId="4" fillId="0" borderId="2" xfId="0" applyFont="1" applyBorder="1"/>
    <xf numFmtId="0" fontId="4" fillId="0" borderId="0" xfId="0" applyFont="1"/>
    <xf numFmtId="0" fontId="3" fillId="0" borderId="8" xfId="0" applyFont="1" applyBorder="1"/>
    <xf numFmtId="164" fontId="5" fillId="0" borderId="0" xfId="1" applyNumberFormat="1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164" fontId="4" fillId="0" borderId="0" xfId="1" applyNumberFormat="1" applyFont="1" applyBorder="1"/>
    <xf numFmtId="0" fontId="3" fillId="0" borderId="7" xfId="0" applyFont="1" applyBorder="1"/>
    <xf numFmtId="3" fontId="4" fillId="0" borderId="0" xfId="0" applyNumberFormat="1" applyFont="1" applyBorder="1"/>
    <xf numFmtId="0" fontId="3" fillId="0" borderId="0" xfId="0" applyFont="1" applyBorder="1" applyAlignment="1">
      <alignment horizontal="center"/>
    </xf>
    <xf numFmtId="0" fontId="4" fillId="0" borderId="7" xfId="0" applyFont="1" applyBorder="1"/>
    <xf numFmtId="0" fontId="4" fillId="0" borderId="0" xfId="0" applyFont="1" applyBorder="1"/>
    <xf numFmtId="164" fontId="4" fillId="0" borderId="3" xfId="0" applyNumberFormat="1" applyFont="1" applyBorder="1" applyAlignment="1">
      <alignment vertical="center"/>
    </xf>
    <xf numFmtId="164" fontId="4" fillId="0" borderId="1" xfId="0" applyNumberFormat="1" applyFont="1" applyBorder="1"/>
    <xf numFmtId="0" fontId="4" fillId="0" borderId="1" xfId="0" applyFont="1" applyBorder="1"/>
    <xf numFmtId="164" fontId="4" fillId="0" borderId="9" xfId="0" applyNumberFormat="1" applyFont="1" applyBorder="1" applyAlignment="1">
      <alignment vertical="center"/>
    </xf>
    <xf numFmtId="0" fontId="3" fillId="4" borderId="6" xfId="4" applyFont="1" applyBorder="1"/>
    <xf numFmtId="0" fontId="3" fillId="4" borderId="4" xfId="4" applyFont="1" applyBorder="1"/>
    <xf numFmtId="0" fontId="3" fillId="4" borderId="2" xfId="4" applyFont="1" applyBorder="1"/>
    <xf numFmtId="0" fontId="4" fillId="0" borderId="7" xfId="0" applyFont="1" applyBorder="1" applyAlignment="1">
      <alignment horizontal="left"/>
    </xf>
    <xf numFmtId="164" fontId="4" fillId="0" borderId="0" xfId="0" applyNumberFormat="1" applyFont="1" applyBorder="1"/>
    <xf numFmtId="0" fontId="4" fillId="0" borderId="3" xfId="0" applyFont="1" applyBorder="1"/>
    <xf numFmtId="0" fontId="4" fillId="0" borderId="8" xfId="0" applyFont="1" applyBorder="1" applyAlignment="1">
      <alignment horizontal="left"/>
    </xf>
    <xf numFmtId="164" fontId="4" fillId="0" borderId="1" xfId="1" applyNumberFormat="1" applyFont="1" applyBorder="1"/>
    <xf numFmtId="0" fontId="4" fillId="0" borderId="9" xfId="0" applyFont="1" applyBorder="1"/>
    <xf numFmtId="0" fontId="4" fillId="0" borderId="6" xfId="0" applyFont="1" applyBorder="1"/>
    <xf numFmtId="164" fontId="4" fillId="0" borderId="4" xfId="0" applyNumberFormat="1" applyFont="1" applyBorder="1"/>
    <xf numFmtId="0" fontId="4" fillId="0" borderId="8" xfId="0" applyFont="1" applyBorder="1"/>
    <xf numFmtId="0" fontId="4" fillId="0" borderId="10" xfId="0" applyFont="1" applyBorder="1"/>
    <xf numFmtId="0" fontId="4" fillId="0" borderId="11" xfId="0" applyFont="1" applyBorder="1"/>
    <xf numFmtId="164" fontId="4" fillId="0" borderId="12" xfId="0" applyNumberFormat="1" applyFont="1" applyBorder="1"/>
    <xf numFmtId="0" fontId="3" fillId="4" borderId="10" xfId="4" applyFont="1" applyBorder="1" applyAlignment="1">
      <alignment horizontal="center"/>
    </xf>
    <xf numFmtId="0" fontId="3" fillId="4" borderId="11" xfId="4" applyFont="1" applyBorder="1" applyAlignment="1">
      <alignment horizontal="center"/>
    </xf>
    <xf numFmtId="0" fontId="3" fillId="4" borderId="12" xfId="4" applyFont="1" applyBorder="1" applyAlignment="1">
      <alignment horizontal="center"/>
    </xf>
    <xf numFmtId="44" fontId="4" fillId="0" borderId="2" xfId="0" applyNumberFormat="1" applyFont="1" applyBorder="1"/>
    <xf numFmtId="0" fontId="3" fillId="0" borderId="0" xfId="0" applyFont="1" applyBorder="1"/>
    <xf numFmtId="164" fontId="4" fillId="0" borderId="3" xfId="0" applyNumberFormat="1" applyFont="1" applyBorder="1"/>
    <xf numFmtId="0" fontId="3" fillId="4" borderId="8" xfId="4" applyFont="1" applyBorder="1" applyAlignment="1">
      <alignment horizontal="center"/>
    </xf>
    <xf numFmtId="0" fontId="3" fillId="4" borderId="1" xfId="4" applyFont="1" applyBorder="1" applyAlignment="1">
      <alignment horizontal="center"/>
    </xf>
    <xf numFmtId="0" fontId="3" fillId="4" borderId="9" xfId="4" applyFont="1" applyBorder="1" applyAlignment="1">
      <alignment horizontal="center"/>
    </xf>
    <xf numFmtId="164" fontId="4" fillId="0" borderId="2" xfId="0" applyNumberFormat="1" applyFont="1" applyBorder="1"/>
    <xf numFmtId="3" fontId="4" fillId="0" borderId="4" xfId="0" applyNumberFormat="1" applyFont="1" applyBorder="1"/>
    <xf numFmtId="0" fontId="3" fillId="0" borderId="4" xfId="0" applyFont="1" applyBorder="1"/>
    <xf numFmtId="3" fontId="4" fillId="0" borderId="1" xfId="0" applyNumberFormat="1" applyFont="1" applyBorder="1"/>
    <xf numFmtId="164" fontId="3" fillId="0" borderId="1" xfId="0" applyNumberFormat="1" applyFont="1" applyBorder="1"/>
    <xf numFmtId="0" fontId="3" fillId="0" borderId="1" xfId="0" applyFont="1" applyBorder="1"/>
    <xf numFmtId="0" fontId="4" fillId="2" borderId="0" xfId="2" applyFont="1"/>
    <xf numFmtId="0" fontId="3" fillId="0" borderId="8" xfId="0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164" fontId="4" fillId="0" borderId="4" xfId="1" applyNumberFormat="1" applyFont="1" applyBorder="1"/>
    <xf numFmtId="0" fontId="3" fillId="0" borderId="0" xfId="0" applyFont="1"/>
    <xf numFmtId="0" fontId="3" fillId="0" borderId="7" xfId="0" applyFont="1" applyBorder="1" applyAlignment="1">
      <alignment horizontal="center"/>
    </xf>
    <xf numFmtId="164" fontId="4" fillId="0" borderId="7" xfId="0" applyNumberFormat="1" applyFont="1" applyBorder="1"/>
    <xf numFmtId="0" fontId="3" fillId="4" borderId="7" xfId="4" applyFont="1" applyBorder="1"/>
    <xf numFmtId="0" fontId="3" fillId="4" borderId="0" xfId="4" applyFont="1" applyBorder="1"/>
    <xf numFmtId="0" fontId="3" fillId="4" borderId="3" xfId="4" applyFont="1" applyBorder="1"/>
    <xf numFmtId="0" fontId="3" fillId="4" borderId="13" xfId="4" applyFont="1" applyBorder="1" applyAlignment="1">
      <alignment horizontal="center"/>
    </xf>
    <xf numFmtId="0" fontId="3" fillId="4" borderId="14" xfId="4" applyFont="1" applyBorder="1" applyAlignment="1">
      <alignment horizontal="center"/>
    </xf>
    <xf numFmtId="0" fontId="3" fillId="4" borderId="17" xfId="4" applyFont="1" applyBorder="1" applyAlignment="1">
      <alignment horizontal="center"/>
    </xf>
    <xf numFmtId="0" fontId="4" fillId="0" borderId="15" xfId="0" applyFont="1" applyBorder="1"/>
    <xf numFmtId="0" fontId="4" fillId="0" borderId="16" xfId="0" applyFont="1" applyBorder="1"/>
    <xf numFmtId="0" fontId="3" fillId="4" borderId="18" xfId="4" applyFont="1" applyBorder="1" applyAlignment="1">
      <alignment horizontal="center"/>
    </xf>
    <xf numFmtId="0" fontId="3" fillId="4" borderId="19" xfId="4" applyFont="1" applyBorder="1" applyAlignment="1">
      <alignment horizontal="center"/>
    </xf>
    <xf numFmtId="0" fontId="3" fillId="4" borderId="21" xfId="4" applyFont="1" applyBorder="1" applyAlignment="1">
      <alignment horizontal="center"/>
    </xf>
    <xf numFmtId="0" fontId="4" fillId="0" borderId="22" xfId="0" applyFont="1" applyBorder="1"/>
    <xf numFmtId="0" fontId="4" fillId="0" borderId="20" xfId="0" applyFont="1" applyBorder="1"/>
    <xf numFmtId="0" fontId="4" fillId="0" borderId="23" xfId="0" applyFont="1" applyBorder="1"/>
    <xf numFmtId="0" fontId="4" fillId="3" borderId="0" xfId="3" applyFont="1"/>
    <xf numFmtId="0" fontId="3" fillId="3" borderId="0" xfId="3" applyFont="1" applyAlignment="1">
      <alignment horizontal="center"/>
    </xf>
    <xf numFmtId="0" fontId="3" fillId="3" borderId="10" xfId="3" applyFont="1" applyBorder="1"/>
    <xf numFmtId="0" fontId="3" fillId="3" borderId="11" xfId="3" applyFont="1" applyBorder="1"/>
    <xf numFmtId="0" fontId="3" fillId="3" borderId="12" xfId="3" applyFont="1" applyBorder="1"/>
    <xf numFmtId="0" fontId="4" fillId="4" borderId="6" xfId="4" applyFont="1" applyBorder="1"/>
    <xf numFmtId="164" fontId="4" fillId="0" borderId="0" xfId="1" applyNumberFormat="1" applyFont="1"/>
    <xf numFmtId="0" fontId="3" fillId="4" borderId="10" xfId="4" applyFont="1" applyBorder="1"/>
    <xf numFmtId="0" fontId="4" fillId="4" borderId="12" xfId="4" applyFont="1" applyBorder="1"/>
    <xf numFmtId="0" fontId="3" fillId="4" borderId="12" xfId="4" applyFont="1" applyBorder="1"/>
    <xf numFmtId="0" fontId="3" fillId="4" borderId="8" xfId="4" applyFont="1" applyBorder="1"/>
    <xf numFmtId="0" fontId="3" fillId="4" borderId="1" xfId="4" applyFont="1" applyBorder="1"/>
    <xf numFmtId="0" fontId="3" fillId="4" borderId="9" xfId="4" applyFont="1" applyBorder="1"/>
    <xf numFmtId="0" fontId="4" fillId="0" borderId="7" xfId="0" applyFont="1" applyBorder="1" applyAlignment="1">
      <alignment horizontal="left" vertical="top"/>
    </xf>
    <xf numFmtId="0" fontId="4" fillId="4" borderId="4" xfId="4" applyFont="1" applyBorder="1"/>
    <xf numFmtId="0" fontId="4" fillId="4" borderId="2" xfId="4" applyFont="1" applyBorder="1"/>
    <xf numFmtId="0" fontId="3" fillId="4" borderId="0" xfId="4" applyFont="1"/>
    <xf numFmtId="0" fontId="4" fillId="4" borderId="0" xfId="4" applyFont="1"/>
    <xf numFmtId="0" fontId="3" fillId="4" borderId="5" xfId="4" applyFont="1" applyBorder="1"/>
    <xf numFmtId="0" fontId="4" fillId="0" borderId="0" xfId="0" applyFont="1" applyAlignment="1">
      <alignment horizontal="left"/>
    </xf>
    <xf numFmtId="0" fontId="4" fillId="4" borderId="0" xfId="4" applyFont="1" applyBorder="1"/>
    <xf numFmtId="0" fontId="3" fillId="0" borderId="9" xfId="0" applyFont="1" applyBorder="1"/>
    <xf numFmtId="164" fontId="3" fillId="0" borderId="0" xfId="0" applyNumberFormat="1" applyFont="1" applyBorder="1"/>
    <xf numFmtId="0" fontId="3" fillId="3" borderId="24" xfId="3" applyFont="1" applyBorder="1"/>
    <xf numFmtId="164" fontId="3" fillId="0" borderId="9" xfId="0" applyNumberFormat="1" applyFont="1" applyBorder="1"/>
    <xf numFmtId="0" fontId="3" fillId="4" borderId="7" xfId="4" applyFont="1" applyBorder="1" applyAlignment="1">
      <alignment horizontal="left"/>
    </xf>
    <xf numFmtId="6" fontId="4" fillId="0" borderId="3" xfId="0" applyNumberFormat="1" applyFont="1" applyBorder="1"/>
    <xf numFmtId="0" fontId="3" fillId="4" borderId="6" xfId="4" applyFont="1" applyBorder="1" applyAlignment="1">
      <alignment horizontal="left"/>
    </xf>
    <xf numFmtId="3" fontId="4" fillId="0" borderId="0" xfId="1" applyNumberFormat="1" applyFont="1" applyBorder="1"/>
    <xf numFmtId="0" fontId="3" fillId="4" borderId="7" xfId="4" applyFont="1" applyBorder="1" applyAlignment="1">
      <alignment horizontal="center"/>
    </xf>
    <xf numFmtId="0" fontId="3" fillId="4" borderId="0" xfId="4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0" xfId="0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0" fontId="3" fillId="4" borderId="6" xfId="4" applyFont="1" applyBorder="1" applyAlignment="1">
      <alignment horizontal="center"/>
    </xf>
    <xf numFmtId="0" fontId="3" fillId="4" borderId="4" xfId="4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3" fontId="4" fillId="0" borderId="0" xfId="0" applyNumberFormat="1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43" fontId="4" fillId="0" borderId="0" xfId="5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4" borderId="14" xfId="4" applyFont="1" applyBorder="1" applyAlignment="1">
      <alignment horizontal="center"/>
    </xf>
    <xf numFmtId="0" fontId="3" fillId="4" borderId="19" xfId="4" applyFont="1" applyBorder="1" applyAlignment="1">
      <alignment horizontal="center"/>
    </xf>
    <xf numFmtId="164" fontId="4" fillId="0" borderId="0" xfId="1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left"/>
    </xf>
    <xf numFmtId="164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4" borderId="11" xfId="4" applyFont="1" applyBorder="1" applyAlignment="1">
      <alignment horizontal="center"/>
    </xf>
    <xf numFmtId="0" fontId="3" fillId="4" borderId="1" xfId="4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6" fillId="3" borderId="0" xfId="3" applyFont="1" applyAlignment="1">
      <alignment horizontal="left"/>
    </xf>
  </cellXfs>
  <cellStyles count="6">
    <cellStyle name="60% - Accent2" xfId="4" builtinId="36"/>
    <cellStyle name="Accent2" xfId="3" builtinId="33"/>
    <cellStyle name="Accent3" xfId="2" builtinId="37"/>
    <cellStyle name="Komma" xfId="5" builtinId="3"/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28</xdr:row>
      <xdr:rowOff>165100</xdr:rowOff>
    </xdr:from>
    <xdr:to>
      <xdr:col>12</xdr:col>
      <xdr:colOff>31750</xdr:colOff>
      <xdr:row>28</xdr:row>
      <xdr:rowOff>177800</xdr:rowOff>
    </xdr:to>
    <xdr:cxnSp macro="">
      <xdr:nvCxnSpPr>
        <xdr:cNvPr id="3" name="Rechte verbindingslijn met pijl 2">
          <a:extLst>
            <a:ext uri="{FF2B5EF4-FFF2-40B4-BE49-F238E27FC236}">
              <a16:creationId xmlns:a16="http://schemas.microsoft.com/office/drawing/2014/main" id="{ABF40206-6FC3-41B0-8567-A918DD997523}"/>
            </a:ext>
          </a:extLst>
        </xdr:cNvPr>
        <xdr:cNvCxnSpPr/>
      </xdr:nvCxnSpPr>
      <xdr:spPr>
        <a:xfrm flipV="1">
          <a:off x="3702050" y="5340350"/>
          <a:ext cx="4711700" cy="1270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6350</xdr:colOff>
      <xdr:row>28</xdr:row>
      <xdr:rowOff>165100</xdr:rowOff>
    </xdr:from>
    <xdr:to>
      <xdr:col>11</xdr:col>
      <xdr:colOff>565150</xdr:colOff>
      <xdr:row>33</xdr:row>
      <xdr:rowOff>50800</xdr:rowOff>
    </xdr:to>
    <xdr:cxnSp macro="">
      <xdr:nvCxnSpPr>
        <xdr:cNvPr id="5" name="Rechte verbindingslijn 4">
          <a:extLst>
            <a:ext uri="{FF2B5EF4-FFF2-40B4-BE49-F238E27FC236}">
              <a16:creationId xmlns:a16="http://schemas.microsoft.com/office/drawing/2014/main" id="{7E1D25BC-399E-4F16-AFBC-57CBA0085668}"/>
            </a:ext>
          </a:extLst>
        </xdr:cNvPr>
        <xdr:cNvCxnSpPr/>
      </xdr:nvCxnSpPr>
      <xdr:spPr>
        <a:xfrm flipH="1">
          <a:off x="3708400" y="5340350"/>
          <a:ext cx="4629150" cy="8064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6350</xdr:colOff>
      <xdr:row>35</xdr:row>
      <xdr:rowOff>171450</xdr:rowOff>
    </xdr:from>
    <xdr:to>
      <xdr:col>12</xdr:col>
      <xdr:colOff>0</xdr:colOff>
      <xdr:row>36</xdr:row>
      <xdr:rowOff>0</xdr:rowOff>
    </xdr:to>
    <xdr:cxnSp macro="">
      <xdr:nvCxnSpPr>
        <xdr:cNvPr id="7" name="Rechte verbindingslijn met pijl 6">
          <a:extLst>
            <a:ext uri="{FF2B5EF4-FFF2-40B4-BE49-F238E27FC236}">
              <a16:creationId xmlns:a16="http://schemas.microsoft.com/office/drawing/2014/main" id="{55F97E0F-0AB3-420C-BF9D-B3567EE8531B}"/>
            </a:ext>
          </a:extLst>
        </xdr:cNvPr>
        <xdr:cNvCxnSpPr/>
      </xdr:nvCxnSpPr>
      <xdr:spPr>
        <a:xfrm>
          <a:off x="3708400" y="6635750"/>
          <a:ext cx="4673600" cy="1270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60</xdr:row>
      <xdr:rowOff>165100</xdr:rowOff>
    </xdr:from>
    <xdr:to>
      <xdr:col>12</xdr:col>
      <xdr:colOff>31750</xdr:colOff>
      <xdr:row>60</xdr:row>
      <xdr:rowOff>177800</xdr:rowOff>
    </xdr:to>
    <xdr:cxnSp macro="">
      <xdr:nvCxnSpPr>
        <xdr:cNvPr id="9" name="Rechte verbindingslijn met pijl 8">
          <a:extLst>
            <a:ext uri="{FF2B5EF4-FFF2-40B4-BE49-F238E27FC236}">
              <a16:creationId xmlns:a16="http://schemas.microsoft.com/office/drawing/2014/main" id="{D3843136-FDE4-40A7-8312-01FF7D50D422}"/>
            </a:ext>
          </a:extLst>
        </xdr:cNvPr>
        <xdr:cNvCxnSpPr/>
      </xdr:nvCxnSpPr>
      <xdr:spPr>
        <a:xfrm flipV="1">
          <a:off x="3873500" y="5340350"/>
          <a:ext cx="4787900" cy="1270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6350</xdr:colOff>
      <xdr:row>60</xdr:row>
      <xdr:rowOff>165100</xdr:rowOff>
    </xdr:from>
    <xdr:to>
      <xdr:col>11</xdr:col>
      <xdr:colOff>565150</xdr:colOff>
      <xdr:row>65</xdr:row>
      <xdr:rowOff>50800</xdr:rowOff>
    </xdr:to>
    <xdr:cxnSp macro="">
      <xdr:nvCxnSpPr>
        <xdr:cNvPr id="10" name="Rechte verbindingslijn 9">
          <a:extLst>
            <a:ext uri="{FF2B5EF4-FFF2-40B4-BE49-F238E27FC236}">
              <a16:creationId xmlns:a16="http://schemas.microsoft.com/office/drawing/2014/main" id="{0253FCF4-76CB-424B-BF16-00DC4081AD52}"/>
            </a:ext>
          </a:extLst>
        </xdr:cNvPr>
        <xdr:cNvCxnSpPr/>
      </xdr:nvCxnSpPr>
      <xdr:spPr>
        <a:xfrm flipH="1">
          <a:off x="3879850" y="5340350"/>
          <a:ext cx="4705350" cy="8064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6350</xdr:colOff>
      <xdr:row>67</xdr:row>
      <xdr:rowOff>171450</xdr:rowOff>
    </xdr:from>
    <xdr:to>
      <xdr:col>12</xdr:col>
      <xdr:colOff>0</xdr:colOff>
      <xdr:row>68</xdr:row>
      <xdr:rowOff>0</xdr:rowOff>
    </xdr:to>
    <xdr:cxnSp macro="">
      <xdr:nvCxnSpPr>
        <xdr:cNvPr id="11" name="Rechte verbindingslijn met pijl 10">
          <a:extLst>
            <a:ext uri="{FF2B5EF4-FFF2-40B4-BE49-F238E27FC236}">
              <a16:creationId xmlns:a16="http://schemas.microsoft.com/office/drawing/2014/main" id="{5C30AAE4-22F3-425E-AC4A-6C5139C7CA9E}"/>
            </a:ext>
          </a:extLst>
        </xdr:cNvPr>
        <xdr:cNvCxnSpPr/>
      </xdr:nvCxnSpPr>
      <xdr:spPr>
        <a:xfrm>
          <a:off x="3879850" y="6635750"/>
          <a:ext cx="4749800" cy="1270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116</xdr:row>
      <xdr:rowOff>165100</xdr:rowOff>
    </xdr:from>
    <xdr:to>
      <xdr:col>12</xdr:col>
      <xdr:colOff>31750</xdr:colOff>
      <xdr:row>116</xdr:row>
      <xdr:rowOff>177800</xdr:rowOff>
    </xdr:to>
    <xdr:cxnSp macro="">
      <xdr:nvCxnSpPr>
        <xdr:cNvPr id="18" name="Rechte verbindingslijn met pijl 17">
          <a:extLst>
            <a:ext uri="{FF2B5EF4-FFF2-40B4-BE49-F238E27FC236}">
              <a16:creationId xmlns:a16="http://schemas.microsoft.com/office/drawing/2014/main" id="{A574F471-69A5-4499-8499-2A5962359E59}"/>
            </a:ext>
          </a:extLst>
        </xdr:cNvPr>
        <xdr:cNvCxnSpPr/>
      </xdr:nvCxnSpPr>
      <xdr:spPr>
        <a:xfrm flipV="1">
          <a:off x="3914775" y="7594600"/>
          <a:ext cx="5318125" cy="1270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6350</xdr:colOff>
      <xdr:row>116</xdr:row>
      <xdr:rowOff>165100</xdr:rowOff>
    </xdr:from>
    <xdr:to>
      <xdr:col>11</xdr:col>
      <xdr:colOff>565150</xdr:colOff>
      <xdr:row>121</xdr:row>
      <xdr:rowOff>50800</xdr:rowOff>
    </xdr:to>
    <xdr:cxnSp macro="">
      <xdr:nvCxnSpPr>
        <xdr:cNvPr id="19" name="Rechte verbindingslijn 18">
          <a:extLst>
            <a:ext uri="{FF2B5EF4-FFF2-40B4-BE49-F238E27FC236}">
              <a16:creationId xmlns:a16="http://schemas.microsoft.com/office/drawing/2014/main" id="{1707D9C4-0DB0-41F3-A537-63F257E7645E}"/>
            </a:ext>
          </a:extLst>
        </xdr:cNvPr>
        <xdr:cNvCxnSpPr/>
      </xdr:nvCxnSpPr>
      <xdr:spPr>
        <a:xfrm flipH="1">
          <a:off x="3921125" y="7594600"/>
          <a:ext cx="5235575" cy="8382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6350</xdr:colOff>
      <xdr:row>123</xdr:row>
      <xdr:rowOff>171450</xdr:rowOff>
    </xdr:from>
    <xdr:to>
      <xdr:col>12</xdr:col>
      <xdr:colOff>0</xdr:colOff>
      <xdr:row>124</xdr:row>
      <xdr:rowOff>0</xdr:rowOff>
    </xdr:to>
    <xdr:cxnSp macro="">
      <xdr:nvCxnSpPr>
        <xdr:cNvPr id="20" name="Rechte verbindingslijn met pijl 19">
          <a:extLst>
            <a:ext uri="{FF2B5EF4-FFF2-40B4-BE49-F238E27FC236}">
              <a16:creationId xmlns:a16="http://schemas.microsoft.com/office/drawing/2014/main" id="{E79D0A4F-EC61-47DD-AD2F-B3154DC5A782}"/>
            </a:ext>
          </a:extLst>
        </xdr:cNvPr>
        <xdr:cNvCxnSpPr/>
      </xdr:nvCxnSpPr>
      <xdr:spPr>
        <a:xfrm>
          <a:off x="3921125" y="8934450"/>
          <a:ext cx="5280025" cy="1905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B185F-A59A-4608-AD2A-A6F6391BCBA8}">
  <dimension ref="A1:T379"/>
  <sheetViews>
    <sheetView tabSelected="1" topLeftCell="A367" workbookViewId="0">
      <selection activeCell="B379" sqref="B379"/>
    </sheetView>
  </sheetViews>
  <sheetFormatPr defaultColWidth="9.1796875" defaultRowHeight="14.5" x14ac:dyDescent="0.35"/>
  <cols>
    <col min="1" max="1" width="9.26953125" style="5" bestFit="1" customWidth="1"/>
    <col min="2" max="2" width="10.7265625" style="5" customWidth="1"/>
    <col min="3" max="3" width="13.7265625" style="5" bestFit="1" customWidth="1"/>
    <col min="4" max="5" width="12.26953125" style="5" bestFit="1" customWidth="1"/>
    <col min="6" max="6" width="11.453125" style="5" bestFit="1" customWidth="1"/>
    <col min="7" max="7" width="9.81640625" style="5" bestFit="1" customWidth="1"/>
    <col min="8" max="8" width="12.453125" style="5" bestFit="1" customWidth="1"/>
    <col min="9" max="9" width="12.26953125" style="5" bestFit="1" customWidth="1"/>
    <col min="10" max="10" width="10.26953125" style="5" customWidth="1"/>
    <col min="11" max="11" width="9.1796875" style="5"/>
    <col min="12" max="13" width="9.26953125" style="5" bestFit="1" customWidth="1"/>
    <col min="14" max="14" width="9.81640625" style="5" bestFit="1" customWidth="1"/>
    <col min="15" max="16384" width="9.1796875" style="5"/>
  </cols>
  <sheetData>
    <row r="1" spans="1:12" x14ac:dyDescent="0.35">
      <c r="A1" s="1" t="s">
        <v>23</v>
      </c>
      <c r="B1" s="2"/>
      <c r="C1" s="3"/>
      <c r="D1" s="3"/>
      <c r="E1" s="3"/>
      <c r="F1" s="3"/>
      <c r="G1" s="3"/>
      <c r="H1" s="3"/>
      <c r="I1" s="3"/>
      <c r="J1" s="3"/>
      <c r="K1" s="3"/>
      <c r="L1" s="4"/>
    </row>
    <row r="2" spans="1:12" ht="16" x14ac:dyDescent="0.5">
      <c r="A2" s="1" t="s">
        <v>142</v>
      </c>
      <c r="B2" s="6" t="s">
        <v>25</v>
      </c>
      <c r="C2" s="7">
        <v>400000</v>
      </c>
      <c r="D2" s="103" t="s">
        <v>24</v>
      </c>
      <c r="E2" s="127">
        <f>C2/C3</f>
        <v>100</v>
      </c>
      <c r="F2" s="135" t="s">
        <v>28</v>
      </c>
      <c r="G2" s="8" t="s">
        <v>29</v>
      </c>
      <c r="H2" s="9">
        <v>300200</v>
      </c>
      <c r="I2" s="103" t="s">
        <v>24</v>
      </c>
      <c r="J2" s="104">
        <f>H2/H3</f>
        <v>98.426229508196727</v>
      </c>
      <c r="K2" s="103" t="s">
        <v>24</v>
      </c>
      <c r="L2" s="129">
        <f>E2+J2</f>
        <v>198.42622950819674</v>
      </c>
    </row>
    <row r="3" spans="1:12" x14ac:dyDescent="0.35">
      <c r="B3" s="10" t="s">
        <v>26</v>
      </c>
      <c r="C3" s="11">
        <v>4000</v>
      </c>
      <c r="D3" s="103"/>
      <c r="E3" s="127"/>
      <c r="F3" s="135"/>
      <c r="G3" s="12" t="s">
        <v>30</v>
      </c>
      <c r="H3" s="11">
        <v>3050</v>
      </c>
      <c r="I3" s="103"/>
      <c r="J3" s="103"/>
      <c r="K3" s="103"/>
      <c r="L3" s="130"/>
    </row>
    <row r="4" spans="1:12" x14ac:dyDescent="0.35">
      <c r="B4" s="13"/>
      <c r="C4" s="14"/>
      <c r="D4" s="14"/>
      <c r="E4" s="14"/>
      <c r="F4" s="14"/>
      <c r="G4" s="14"/>
      <c r="H4" s="14"/>
      <c r="I4" s="14"/>
      <c r="J4" s="14"/>
      <c r="K4" s="103" t="s">
        <v>24</v>
      </c>
      <c r="L4" s="15"/>
    </row>
    <row r="5" spans="1:12" x14ac:dyDescent="0.35">
      <c r="B5" s="6" t="s">
        <v>27</v>
      </c>
      <c r="C5" s="16"/>
      <c r="D5" s="17"/>
      <c r="E5" s="16">
        <f>E2/12</f>
        <v>8.3333333333333339</v>
      </c>
      <c r="F5" s="17"/>
      <c r="G5" s="8" t="s">
        <v>28</v>
      </c>
      <c r="H5" s="17"/>
      <c r="I5" s="17"/>
      <c r="J5" s="16">
        <f>J2/12</f>
        <v>8.2021857923497272</v>
      </c>
      <c r="K5" s="133"/>
      <c r="L5" s="18">
        <f>E5+J5</f>
        <v>16.535519125683059</v>
      </c>
    </row>
    <row r="7" spans="1:12" x14ac:dyDescent="0.35">
      <c r="B7" s="19"/>
      <c r="C7" s="20" t="s">
        <v>34</v>
      </c>
      <c r="D7" s="20"/>
      <c r="E7" s="20"/>
      <c r="F7" s="20"/>
      <c r="G7" s="20"/>
      <c r="H7" s="20" t="s">
        <v>32</v>
      </c>
      <c r="I7" s="20" t="s">
        <v>33</v>
      </c>
      <c r="J7" s="21" t="s">
        <v>147</v>
      </c>
    </row>
    <row r="8" spans="1:12" x14ac:dyDescent="0.35">
      <c r="A8" s="1" t="s">
        <v>144</v>
      </c>
      <c r="B8" s="22">
        <v>500</v>
      </c>
      <c r="C8" s="14" t="s">
        <v>3</v>
      </c>
      <c r="D8" s="14"/>
      <c r="E8" s="14"/>
      <c r="F8" s="14"/>
      <c r="G8" s="14"/>
      <c r="H8" s="9">
        <v>58654</v>
      </c>
      <c r="I8" s="23"/>
      <c r="J8" s="24"/>
    </row>
    <row r="9" spans="1:12" x14ac:dyDescent="0.35">
      <c r="B9" s="25" t="s">
        <v>31</v>
      </c>
      <c r="C9" s="17" t="s">
        <v>2</v>
      </c>
      <c r="D9" s="17"/>
      <c r="E9" s="17"/>
      <c r="F9" s="17"/>
      <c r="G9" s="17"/>
      <c r="H9" s="16"/>
      <c r="I9" s="26">
        <v>58654</v>
      </c>
      <c r="J9" s="27"/>
    </row>
    <row r="11" spans="1:12" x14ac:dyDescent="0.35">
      <c r="A11" s="1" t="s">
        <v>25</v>
      </c>
      <c r="B11" s="28" t="s">
        <v>55</v>
      </c>
      <c r="C11" s="3"/>
      <c r="D11" s="29">
        <f>C2/12</f>
        <v>33333.333333333336</v>
      </c>
      <c r="E11" s="3" t="s">
        <v>35</v>
      </c>
      <c r="F11" s="3"/>
      <c r="G11" s="4"/>
    </row>
    <row r="12" spans="1:12" x14ac:dyDescent="0.35">
      <c r="B12" s="13" t="s">
        <v>56</v>
      </c>
      <c r="C12" s="14"/>
      <c r="D12" s="16">
        <f>5300*7</f>
        <v>37100</v>
      </c>
      <c r="E12" s="14" t="s">
        <v>186</v>
      </c>
      <c r="F12" s="14"/>
      <c r="G12" s="24"/>
    </row>
    <row r="13" spans="1:12" x14ac:dyDescent="0.35">
      <c r="B13" s="30" t="s">
        <v>36</v>
      </c>
      <c r="C13" s="17"/>
      <c r="D13" s="16">
        <f>SUM(D11:D12)</f>
        <v>70433.333333333343</v>
      </c>
      <c r="E13" s="17"/>
      <c r="F13" s="17"/>
      <c r="G13" s="27"/>
    </row>
    <row r="15" spans="1:12" x14ac:dyDescent="0.35">
      <c r="A15" s="1" t="s">
        <v>42</v>
      </c>
      <c r="B15" s="19"/>
      <c r="C15" s="20" t="s">
        <v>34</v>
      </c>
      <c r="D15" s="20"/>
      <c r="E15" s="20"/>
      <c r="F15" s="20"/>
      <c r="G15" s="20"/>
      <c r="H15" s="20" t="s">
        <v>32</v>
      </c>
      <c r="I15" s="20" t="s">
        <v>33</v>
      </c>
      <c r="J15" s="21" t="s">
        <v>147</v>
      </c>
    </row>
    <row r="16" spans="1:12" x14ac:dyDescent="0.35">
      <c r="B16" s="22">
        <v>502</v>
      </c>
      <c r="C16" s="14" t="s">
        <v>5</v>
      </c>
      <c r="D16" s="14"/>
      <c r="E16" s="14"/>
      <c r="F16" s="14"/>
      <c r="G16" s="14"/>
      <c r="H16" s="23">
        <f>D13</f>
        <v>70433.333333333343</v>
      </c>
      <c r="I16" s="14"/>
      <c r="J16" s="24"/>
    </row>
    <row r="17" spans="1:14" x14ac:dyDescent="0.35">
      <c r="B17" s="30" t="s">
        <v>37</v>
      </c>
      <c r="C17" s="17" t="s">
        <v>4</v>
      </c>
      <c r="D17" s="17"/>
      <c r="E17" s="17"/>
      <c r="F17" s="17"/>
      <c r="G17" s="17"/>
      <c r="H17" s="17"/>
      <c r="I17" s="16">
        <f>D13</f>
        <v>70433.333333333343</v>
      </c>
      <c r="J17" s="27"/>
    </row>
    <row r="19" spans="1:14" x14ac:dyDescent="0.35">
      <c r="A19" s="1" t="s">
        <v>145</v>
      </c>
      <c r="B19" s="31" t="s">
        <v>38</v>
      </c>
      <c r="C19" s="32"/>
      <c r="D19" s="33">
        <f>5300*12</f>
        <v>63600</v>
      </c>
    </row>
    <row r="21" spans="1:14" x14ac:dyDescent="0.35">
      <c r="A21" s="1" t="s">
        <v>146</v>
      </c>
      <c r="B21" s="19"/>
      <c r="C21" s="20" t="s">
        <v>34</v>
      </c>
      <c r="D21" s="20"/>
      <c r="E21" s="20"/>
      <c r="F21" s="20"/>
      <c r="G21" s="20"/>
      <c r="H21" s="20" t="s">
        <v>32</v>
      </c>
      <c r="I21" s="20" t="s">
        <v>33</v>
      </c>
      <c r="J21" s="21" t="s">
        <v>147</v>
      </c>
    </row>
    <row r="22" spans="1:14" x14ac:dyDescent="0.35">
      <c r="B22" s="22">
        <v>520</v>
      </c>
      <c r="C22" s="101" t="s">
        <v>6</v>
      </c>
      <c r="D22" s="101"/>
      <c r="E22" s="101"/>
      <c r="F22" s="101"/>
      <c r="G22" s="101"/>
      <c r="H22" s="9">
        <f>1000*12</f>
        <v>12000</v>
      </c>
      <c r="I22" s="14"/>
      <c r="J22" s="24" t="s">
        <v>182</v>
      </c>
    </row>
    <row r="23" spans="1:14" x14ac:dyDescent="0.35">
      <c r="B23" s="22">
        <v>530</v>
      </c>
      <c r="C23" s="101" t="s">
        <v>7</v>
      </c>
      <c r="D23" s="101"/>
      <c r="E23" s="101"/>
      <c r="F23" s="101"/>
      <c r="G23" s="101"/>
      <c r="H23" s="9">
        <f>600*12</f>
        <v>7200</v>
      </c>
      <c r="I23" s="14"/>
      <c r="J23" s="24" t="s">
        <v>183</v>
      </c>
    </row>
    <row r="24" spans="1:14" x14ac:dyDescent="0.35">
      <c r="B24" s="22">
        <v>550</v>
      </c>
      <c r="C24" s="101" t="s">
        <v>8</v>
      </c>
      <c r="D24" s="101"/>
      <c r="E24" s="101"/>
      <c r="F24" s="101"/>
      <c r="G24" s="101"/>
      <c r="H24" s="9">
        <f>3000*12</f>
        <v>36000</v>
      </c>
      <c r="I24" s="14"/>
      <c r="J24" s="24" t="s">
        <v>184</v>
      </c>
    </row>
    <row r="25" spans="1:14" x14ac:dyDescent="0.35">
      <c r="B25" s="22">
        <v>560</v>
      </c>
      <c r="C25" s="101" t="s">
        <v>12</v>
      </c>
      <c r="D25" s="101"/>
      <c r="E25" s="101"/>
      <c r="F25" s="101"/>
      <c r="G25" s="101"/>
      <c r="H25" s="9">
        <f>700*12</f>
        <v>8400</v>
      </c>
      <c r="I25" s="14"/>
      <c r="J25" s="24" t="s">
        <v>185</v>
      </c>
    </row>
    <row r="26" spans="1:14" x14ac:dyDescent="0.35">
      <c r="B26" s="30" t="s">
        <v>39</v>
      </c>
      <c r="C26" s="102" t="s">
        <v>40</v>
      </c>
      <c r="D26" s="102"/>
      <c r="E26" s="102"/>
      <c r="F26" s="102"/>
      <c r="G26" s="102"/>
      <c r="H26" s="17"/>
      <c r="I26" s="26">
        <f>H22+H23+H24+H25</f>
        <v>63600</v>
      </c>
      <c r="J26" s="27"/>
    </row>
    <row r="28" spans="1:14" x14ac:dyDescent="0.35">
      <c r="A28" s="1" t="s">
        <v>148</v>
      </c>
      <c r="B28" s="34" t="s">
        <v>42</v>
      </c>
      <c r="C28" s="131" t="s">
        <v>41</v>
      </c>
      <c r="D28" s="131"/>
      <c r="E28" s="131"/>
      <c r="F28" s="131"/>
      <c r="G28" s="35" t="s">
        <v>25</v>
      </c>
      <c r="H28" s="3"/>
      <c r="I28" s="35" t="s">
        <v>42</v>
      </c>
      <c r="J28" s="131" t="s">
        <v>44</v>
      </c>
      <c r="K28" s="131"/>
      <c r="L28" s="131"/>
      <c r="M28" s="131"/>
      <c r="N28" s="36" t="s">
        <v>25</v>
      </c>
    </row>
    <row r="29" spans="1:14" x14ac:dyDescent="0.35">
      <c r="B29" s="13"/>
      <c r="C29" s="3"/>
      <c r="D29" s="37">
        <f>H8</f>
        <v>58654</v>
      </c>
      <c r="E29" s="14"/>
      <c r="F29" s="14"/>
      <c r="G29" s="14"/>
      <c r="H29" s="38" t="s">
        <v>46</v>
      </c>
      <c r="I29" s="14"/>
      <c r="J29" s="3"/>
      <c r="K29" s="4"/>
      <c r="L29" s="14"/>
      <c r="M29" s="14"/>
      <c r="N29" s="39">
        <f>I17</f>
        <v>70433.333333333343</v>
      </c>
    </row>
    <row r="30" spans="1:14" x14ac:dyDescent="0.35">
      <c r="B30" s="13"/>
      <c r="C30" s="14"/>
      <c r="D30" s="24"/>
      <c r="E30" s="14"/>
      <c r="F30" s="14"/>
      <c r="G30" s="14"/>
      <c r="H30" s="23">
        <f>N29-D29</f>
        <v>11779.333333333343</v>
      </c>
      <c r="I30" s="14" t="s">
        <v>47</v>
      </c>
      <c r="J30" s="14"/>
      <c r="K30" s="24"/>
      <c r="L30" s="14"/>
      <c r="M30" s="14"/>
      <c r="N30" s="24"/>
    </row>
    <row r="31" spans="1:14" x14ac:dyDescent="0.35">
      <c r="B31" s="13"/>
      <c r="C31" s="14"/>
      <c r="D31" s="24"/>
      <c r="E31" s="14"/>
      <c r="F31" s="14"/>
      <c r="G31" s="14"/>
      <c r="H31" s="14"/>
      <c r="I31" s="14"/>
      <c r="J31" s="14"/>
      <c r="K31" s="24"/>
      <c r="L31" s="14"/>
      <c r="M31" s="14"/>
      <c r="N31" s="24"/>
    </row>
    <row r="32" spans="1:14" x14ac:dyDescent="0.35">
      <c r="B32" s="13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24"/>
    </row>
    <row r="33" spans="1:20" x14ac:dyDescent="0.35">
      <c r="B33" s="13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24"/>
    </row>
    <row r="34" spans="1:20" x14ac:dyDescent="0.35">
      <c r="B34" s="13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24"/>
    </row>
    <row r="35" spans="1:20" x14ac:dyDescent="0.35">
      <c r="B35" s="40" t="s">
        <v>42</v>
      </c>
      <c r="C35" s="132" t="s">
        <v>45</v>
      </c>
      <c r="D35" s="132"/>
      <c r="E35" s="132"/>
      <c r="F35" s="132"/>
      <c r="G35" s="41" t="s">
        <v>25</v>
      </c>
      <c r="H35" s="14"/>
      <c r="I35" s="41" t="s">
        <v>42</v>
      </c>
      <c r="J35" s="132" t="s">
        <v>43</v>
      </c>
      <c r="K35" s="132"/>
      <c r="L35" s="132"/>
      <c r="M35" s="132"/>
      <c r="N35" s="42" t="s">
        <v>25</v>
      </c>
    </row>
    <row r="36" spans="1:20" x14ac:dyDescent="0.35">
      <c r="B36" s="13"/>
      <c r="C36" s="3"/>
      <c r="D36" s="43">
        <f>H16</f>
        <v>70433.333333333343</v>
      </c>
      <c r="E36" s="14"/>
      <c r="F36" s="14"/>
      <c r="G36" s="14"/>
      <c r="H36" s="38" t="s">
        <v>20</v>
      </c>
      <c r="I36" s="14"/>
      <c r="J36" s="3"/>
      <c r="K36" s="4"/>
      <c r="L36" s="14"/>
      <c r="M36" s="14"/>
      <c r="N36" s="39">
        <f>D19</f>
        <v>63600</v>
      </c>
    </row>
    <row r="37" spans="1:20" x14ac:dyDescent="0.35">
      <c r="B37" s="13"/>
      <c r="C37" s="14"/>
      <c r="D37" s="24"/>
      <c r="E37" s="14"/>
      <c r="F37" s="14"/>
      <c r="G37" s="14"/>
      <c r="H37" s="23">
        <f>N36-D36</f>
        <v>-6833.333333333343</v>
      </c>
      <c r="I37" s="14" t="s">
        <v>47</v>
      </c>
      <c r="J37" s="14"/>
      <c r="K37" s="24"/>
      <c r="L37" s="14"/>
      <c r="M37" s="14"/>
      <c r="N37" s="24"/>
    </row>
    <row r="38" spans="1:20" x14ac:dyDescent="0.35">
      <c r="B38" s="13"/>
      <c r="C38" s="14"/>
      <c r="D38" s="24"/>
      <c r="E38" s="14"/>
      <c r="F38" s="14"/>
      <c r="G38" s="14"/>
      <c r="H38" s="14"/>
      <c r="I38" s="14"/>
      <c r="J38" s="14"/>
      <c r="K38" s="24"/>
      <c r="L38" s="14"/>
      <c r="M38" s="14"/>
      <c r="N38" s="24"/>
    </row>
    <row r="39" spans="1:20" x14ac:dyDescent="0.35">
      <c r="B39" s="30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27"/>
    </row>
    <row r="41" spans="1:20" x14ac:dyDescent="0.35">
      <c r="A41" s="1" t="s">
        <v>149</v>
      </c>
      <c r="B41" s="2" t="s">
        <v>48</v>
      </c>
      <c r="C41" s="44">
        <v>4000</v>
      </c>
      <c r="D41" s="3"/>
      <c r="E41" s="45" t="s">
        <v>50</v>
      </c>
      <c r="F41" s="3"/>
      <c r="G41" s="4"/>
    </row>
    <row r="42" spans="1:20" x14ac:dyDescent="0.35">
      <c r="B42" s="6" t="s">
        <v>49</v>
      </c>
      <c r="C42" s="46">
        <v>5300</v>
      </c>
      <c r="D42" s="17"/>
      <c r="E42" s="47">
        <f>(C42-C41)*E5</f>
        <v>10833.333333333334</v>
      </c>
      <c r="F42" s="48" t="s">
        <v>69</v>
      </c>
      <c r="G42" s="27"/>
    </row>
    <row r="44" spans="1:20" x14ac:dyDescent="0.3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</row>
    <row r="45" spans="1:20" x14ac:dyDescent="0.35">
      <c r="A45" s="1" t="s">
        <v>52</v>
      </c>
      <c r="B45" s="28"/>
      <c r="C45" s="3"/>
      <c r="D45" s="3"/>
      <c r="E45" s="3"/>
      <c r="F45" s="3"/>
      <c r="G45" s="3"/>
      <c r="H45" s="3"/>
      <c r="I45" s="3"/>
      <c r="J45" s="3"/>
      <c r="K45" s="3"/>
      <c r="L45" s="3"/>
      <c r="M45" s="4"/>
    </row>
    <row r="46" spans="1:20" x14ac:dyDescent="0.35">
      <c r="A46" s="1" t="s">
        <v>142</v>
      </c>
      <c r="B46" s="50" t="s">
        <v>25</v>
      </c>
      <c r="C46" s="9">
        <v>200000</v>
      </c>
      <c r="D46" s="103" t="s">
        <v>24</v>
      </c>
      <c r="E46" s="104">
        <f>C46/C47</f>
        <v>100</v>
      </c>
      <c r="F46" s="135" t="s">
        <v>28</v>
      </c>
      <c r="G46" s="8" t="s">
        <v>29</v>
      </c>
      <c r="H46" s="14"/>
      <c r="I46" s="103" t="s">
        <v>24</v>
      </c>
      <c r="J46" s="127">
        <v>30</v>
      </c>
      <c r="K46" s="14"/>
      <c r="L46" s="103" t="s">
        <v>187</v>
      </c>
      <c r="M46" s="129">
        <f>E46+J46</f>
        <v>130</v>
      </c>
    </row>
    <row r="47" spans="1:20" x14ac:dyDescent="0.35">
      <c r="B47" s="50" t="s">
        <v>26</v>
      </c>
      <c r="C47" s="17">
        <v>2000</v>
      </c>
      <c r="D47" s="133"/>
      <c r="E47" s="133"/>
      <c r="F47" s="136"/>
      <c r="G47" s="8" t="s">
        <v>30</v>
      </c>
      <c r="H47" s="17"/>
      <c r="I47" s="133"/>
      <c r="J47" s="134"/>
      <c r="K47" s="17"/>
      <c r="L47" s="133"/>
      <c r="M47" s="137"/>
    </row>
    <row r="49" spans="1:14" x14ac:dyDescent="0.35">
      <c r="A49" s="1" t="s">
        <v>144</v>
      </c>
      <c r="B49" s="139" t="s">
        <v>53</v>
      </c>
      <c r="C49" s="138"/>
      <c r="D49" s="138"/>
      <c r="E49" s="29">
        <f>C46</f>
        <v>200000</v>
      </c>
      <c r="F49" s="3" t="s">
        <v>189</v>
      </c>
      <c r="G49" s="4"/>
    </row>
    <row r="50" spans="1:14" x14ac:dyDescent="0.35">
      <c r="B50" s="115" t="s">
        <v>54</v>
      </c>
      <c r="C50" s="101"/>
      <c r="D50" s="101"/>
      <c r="E50" s="26">
        <f>4200*30</f>
        <v>126000</v>
      </c>
      <c r="F50" s="14" t="s">
        <v>188</v>
      </c>
      <c r="G50" s="24"/>
    </row>
    <row r="51" spans="1:14" x14ac:dyDescent="0.35">
      <c r="B51" s="128" t="s">
        <v>36</v>
      </c>
      <c r="C51" s="102"/>
      <c r="D51" s="102"/>
      <c r="E51" s="16">
        <f>SUM(E49:E50)</f>
        <v>326000</v>
      </c>
      <c r="F51" s="17"/>
      <c r="G51" s="27"/>
    </row>
    <row r="53" spans="1:14" x14ac:dyDescent="0.35">
      <c r="A53" s="1" t="s">
        <v>25</v>
      </c>
      <c r="B53" s="19"/>
      <c r="C53" s="20" t="s">
        <v>34</v>
      </c>
      <c r="D53" s="20"/>
      <c r="E53" s="20"/>
      <c r="F53" s="20"/>
      <c r="G53" s="20"/>
      <c r="H53" s="20" t="s">
        <v>32</v>
      </c>
      <c r="I53" s="20" t="s">
        <v>33</v>
      </c>
      <c r="J53" s="21" t="s">
        <v>147</v>
      </c>
    </row>
    <row r="54" spans="1:14" x14ac:dyDescent="0.35">
      <c r="B54" s="22">
        <v>552</v>
      </c>
      <c r="C54" s="101" t="s">
        <v>58</v>
      </c>
      <c r="D54" s="101"/>
      <c r="E54" s="101"/>
      <c r="F54" s="101"/>
      <c r="G54" s="101"/>
      <c r="H54" s="23">
        <f>E51</f>
        <v>326000</v>
      </c>
      <c r="I54" s="14"/>
      <c r="J54" s="24"/>
    </row>
    <row r="55" spans="1:14" x14ac:dyDescent="0.35">
      <c r="B55" s="30" t="s">
        <v>57</v>
      </c>
      <c r="C55" s="102" t="s">
        <v>9</v>
      </c>
      <c r="D55" s="102"/>
      <c r="E55" s="102"/>
      <c r="F55" s="102"/>
      <c r="G55" s="102"/>
      <c r="H55" s="17"/>
      <c r="I55" s="16">
        <f>E51</f>
        <v>326000</v>
      </c>
      <c r="J55" s="27"/>
    </row>
    <row r="57" spans="1:14" x14ac:dyDescent="0.35">
      <c r="A57" s="1" t="s">
        <v>42</v>
      </c>
      <c r="B57" s="51">
        <v>602</v>
      </c>
      <c r="C57" s="138" t="s">
        <v>60</v>
      </c>
      <c r="D57" s="138"/>
      <c r="E57" s="138"/>
      <c r="F57" s="138"/>
      <c r="G57" s="138"/>
      <c r="H57" s="52">
        <f>4200*100</f>
        <v>420000</v>
      </c>
      <c r="I57" s="52"/>
      <c r="J57" s="4" t="s">
        <v>190</v>
      </c>
    </row>
    <row r="58" spans="1:14" x14ac:dyDescent="0.35">
      <c r="B58" s="30" t="s">
        <v>59</v>
      </c>
      <c r="C58" s="102" t="s">
        <v>11</v>
      </c>
      <c r="D58" s="102"/>
      <c r="E58" s="102"/>
      <c r="F58" s="102"/>
      <c r="G58" s="102"/>
      <c r="H58" s="26"/>
      <c r="I58" s="26">
        <f>4200*100</f>
        <v>420000</v>
      </c>
      <c r="J58" s="27"/>
    </row>
    <row r="60" spans="1:14" x14ac:dyDescent="0.35">
      <c r="A60" s="1" t="s">
        <v>145</v>
      </c>
      <c r="B60" s="34" t="s">
        <v>42</v>
      </c>
      <c r="C60" s="131" t="s">
        <v>61</v>
      </c>
      <c r="D60" s="131"/>
      <c r="E60" s="131"/>
      <c r="F60" s="131"/>
      <c r="G60" s="35" t="s">
        <v>25</v>
      </c>
      <c r="H60" s="3"/>
      <c r="I60" s="35" t="s">
        <v>42</v>
      </c>
      <c r="J60" s="131" t="s">
        <v>63</v>
      </c>
      <c r="K60" s="131"/>
      <c r="L60" s="131"/>
      <c r="M60" s="131"/>
      <c r="N60" s="36" t="s">
        <v>25</v>
      </c>
    </row>
    <row r="61" spans="1:14" x14ac:dyDescent="0.35">
      <c r="B61" s="13"/>
      <c r="C61" s="3"/>
      <c r="D61" s="43">
        <v>189200</v>
      </c>
      <c r="E61" s="14" t="s">
        <v>65</v>
      </c>
      <c r="F61" s="14"/>
      <c r="G61" s="14"/>
      <c r="H61" s="38" t="s">
        <v>46</v>
      </c>
      <c r="I61" s="14"/>
      <c r="J61" s="3"/>
      <c r="K61" s="4"/>
      <c r="L61" s="14"/>
      <c r="M61" s="14"/>
      <c r="N61" s="39">
        <f>I55</f>
        <v>326000</v>
      </c>
    </row>
    <row r="62" spans="1:14" x14ac:dyDescent="0.35">
      <c r="B62" s="13"/>
      <c r="C62" s="14"/>
      <c r="D62" s="24"/>
      <c r="E62" s="14"/>
      <c r="F62" s="14"/>
      <c r="G62" s="14"/>
      <c r="H62" s="23">
        <f>N61-D61</f>
        <v>136800</v>
      </c>
      <c r="I62" s="14" t="s">
        <v>69</v>
      </c>
      <c r="J62" s="14"/>
      <c r="K62" s="24"/>
      <c r="L62" s="14"/>
      <c r="M62" s="14"/>
      <c r="N62" s="24"/>
    </row>
    <row r="63" spans="1:14" x14ac:dyDescent="0.35">
      <c r="B63" s="13"/>
      <c r="C63" s="14"/>
      <c r="D63" s="24"/>
      <c r="E63" s="14"/>
      <c r="F63" s="14"/>
      <c r="G63" s="14"/>
      <c r="H63" s="14"/>
      <c r="I63" s="14"/>
      <c r="J63" s="14"/>
      <c r="K63" s="24"/>
      <c r="L63" s="14"/>
      <c r="M63" s="14"/>
      <c r="N63" s="24"/>
    </row>
    <row r="64" spans="1:14" x14ac:dyDescent="0.35">
      <c r="B64" s="13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24"/>
    </row>
    <row r="65" spans="1:14" x14ac:dyDescent="0.35">
      <c r="B65" s="13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24"/>
    </row>
    <row r="66" spans="1:14" x14ac:dyDescent="0.35">
      <c r="B66" s="13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24"/>
    </row>
    <row r="67" spans="1:14" x14ac:dyDescent="0.35">
      <c r="B67" s="40" t="s">
        <v>42</v>
      </c>
      <c r="C67" s="132" t="s">
        <v>62</v>
      </c>
      <c r="D67" s="132"/>
      <c r="E67" s="132"/>
      <c r="F67" s="132"/>
      <c r="G67" s="41" t="s">
        <v>25</v>
      </c>
      <c r="H67" s="14"/>
      <c r="I67" s="41" t="s">
        <v>42</v>
      </c>
      <c r="J67" s="132" t="s">
        <v>64</v>
      </c>
      <c r="K67" s="132"/>
      <c r="L67" s="132"/>
      <c r="M67" s="132"/>
      <c r="N67" s="42" t="s">
        <v>25</v>
      </c>
    </row>
    <row r="68" spans="1:14" x14ac:dyDescent="0.35">
      <c r="B68" s="13"/>
      <c r="C68" s="3"/>
      <c r="D68" s="43">
        <f>H54</f>
        <v>326000</v>
      </c>
      <c r="E68" s="14"/>
      <c r="F68" s="14"/>
      <c r="G68" s="14"/>
      <c r="H68" s="38" t="s">
        <v>20</v>
      </c>
      <c r="I68" s="14"/>
      <c r="J68" s="3"/>
      <c r="K68" s="4"/>
      <c r="L68" s="14"/>
      <c r="M68" s="14"/>
      <c r="N68" s="39">
        <f>I58</f>
        <v>420000</v>
      </c>
    </row>
    <row r="69" spans="1:14" x14ac:dyDescent="0.35">
      <c r="B69" s="13"/>
      <c r="C69" s="14"/>
      <c r="D69" s="24"/>
      <c r="E69" s="14"/>
      <c r="F69" s="14"/>
      <c r="G69" s="14"/>
      <c r="H69" s="23">
        <f>N68-D68</f>
        <v>94000</v>
      </c>
      <c r="I69" s="14" t="s">
        <v>69</v>
      </c>
      <c r="J69" s="14"/>
      <c r="K69" s="24"/>
      <c r="L69" s="14"/>
      <c r="M69" s="14"/>
      <c r="N69" s="24"/>
    </row>
    <row r="70" spans="1:14" x14ac:dyDescent="0.35">
      <c r="B70" s="30"/>
      <c r="C70" s="17"/>
      <c r="D70" s="27"/>
      <c r="E70" s="17"/>
      <c r="F70" s="17"/>
      <c r="G70" s="17"/>
      <c r="H70" s="17"/>
      <c r="I70" s="17"/>
      <c r="J70" s="17"/>
      <c r="K70" s="27"/>
      <c r="L70" s="17"/>
      <c r="M70" s="17"/>
      <c r="N70" s="27"/>
    </row>
    <row r="72" spans="1:14" x14ac:dyDescent="0.35">
      <c r="A72" s="1" t="s">
        <v>146</v>
      </c>
      <c r="B72" s="19"/>
      <c r="C72" s="20" t="s">
        <v>34</v>
      </c>
      <c r="D72" s="20"/>
      <c r="E72" s="20"/>
      <c r="F72" s="20"/>
      <c r="G72" s="20"/>
      <c r="H72" s="20" t="s">
        <v>32</v>
      </c>
      <c r="I72" s="20" t="s">
        <v>33</v>
      </c>
      <c r="J72" s="21" t="s">
        <v>147</v>
      </c>
    </row>
    <row r="73" spans="1:14" x14ac:dyDescent="0.35">
      <c r="B73" s="22">
        <v>930</v>
      </c>
      <c r="C73" s="101" t="s">
        <v>68</v>
      </c>
      <c r="D73" s="101"/>
      <c r="E73" s="101"/>
      <c r="F73" s="101"/>
      <c r="G73" s="101"/>
      <c r="H73" s="23">
        <f>H62</f>
        <v>136800</v>
      </c>
      <c r="I73" s="14"/>
      <c r="J73" s="24"/>
    </row>
    <row r="74" spans="1:14" x14ac:dyDescent="0.35">
      <c r="B74" s="13" t="s">
        <v>66</v>
      </c>
      <c r="C74" s="101" t="s">
        <v>2</v>
      </c>
      <c r="D74" s="101"/>
      <c r="E74" s="101"/>
      <c r="F74" s="101"/>
      <c r="G74" s="101"/>
      <c r="H74" s="14"/>
      <c r="I74" s="23">
        <f>H73-I75</f>
        <v>42800</v>
      </c>
      <c r="J74" s="24"/>
    </row>
    <row r="75" spans="1:14" x14ac:dyDescent="0.35">
      <c r="B75" s="30" t="s">
        <v>67</v>
      </c>
      <c r="C75" s="102" t="s">
        <v>22</v>
      </c>
      <c r="D75" s="102"/>
      <c r="E75" s="102"/>
      <c r="F75" s="102"/>
      <c r="G75" s="102"/>
      <c r="H75" s="17"/>
      <c r="I75" s="16">
        <f>H69</f>
        <v>94000</v>
      </c>
      <c r="J75" s="27"/>
    </row>
    <row r="78" spans="1:14" x14ac:dyDescent="0.35">
      <c r="A78" s="1" t="s">
        <v>70</v>
      </c>
    </row>
    <row r="79" spans="1:14" x14ac:dyDescent="0.35">
      <c r="A79" s="1" t="s">
        <v>142</v>
      </c>
      <c r="B79" s="120" t="s">
        <v>73</v>
      </c>
      <c r="C79" s="121"/>
      <c r="D79" s="3"/>
      <c r="E79" s="3"/>
      <c r="F79" s="3"/>
      <c r="G79" s="3"/>
      <c r="H79" s="3"/>
      <c r="I79" s="3"/>
      <c r="J79" s="3"/>
      <c r="K79" s="3"/>
      <c r="L79" s="3"/>
      <c r="M79" s="4"/>
    </row>
    <row r="80" spans="1:14" x14ac:dyDescent="0.35">
      <c r="A80" s="53"/>
      <c r="B80" s="50" t="s">
        <v>25</v>
      </c>
      <c r="C80" s="26">
        <v>111000</v>
      </c>
      <c r="D80" s="103" t="s">
        <v>24</v>
      </c>
      <c r="E80" s="104">
        <f>C80/C81</f>
        <v>58.421052631578945</v>
      </c>
      <c r="F80" s="103" t="s">
        <v>28</v>
      </c>
      <c r="G80" s="8" t="s">
        <v>29</v>
      </c>
      <c r="H80" s="14"/>
      <c r="I80" s="103" t="s">
        <v>24</v>
      </c>
      <c r="J80" s="127">
        <v>20</v>
      </c>
      <c r="K80" s="14"/>
      <c r="L80" s="103" t="s">
        <v>24</v>
      </c>
      <c r="M80" s="123">
        <f>E80+J80</f>
        <v>78.421052631578945</v>
      </c>
    </row>
    <row r="81" spans="1:13" x14ac:dyDescent="0.35">
      <c r="B81" s="54" t="s">
        <v>26</v>
      </c>
      <c r="C81" s="11">
        <v>1900</v>
      </c>
      <c r="D81" s="103"/>
      <c r="E81" s="104"/>
      <c r="F81" s="103"/>
      <c r="G81" s="12" t="s">
        <v>30</v>
      </c>
      <c r="H81" s="14"/>
      <c r="I81" s="103"/>
      <c r="J81" s="127"/>
      <c r="K81" s="14"/>
      <c r="L81" s="103"/>
      <c r="M81" s="124"/>
    </row>
    <row r="82" spans="1:13" x14ac:dyDescent="0.35">
      <c r="B82" s="13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24"/>
    </row>
    <row r="83" spans="1:13" x14ac:dyDescent="0.35">
      <c r="B83" s="13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24"/>
    </row>
    <row r="84" spans="1:13" x14ac:dyDescent="0.35">
      <c r="B84" s="13" t="s">
        <v>53</v>
      </c>
      <c r="C84" s="14"/>
      <c r="D84" s="9">
        <f>450*58</f>
        <v>26100</v>
      </c>
      <c r="E84" s="14" t="s">
        <v>191</v>
      </c>
      <c r="F84" s="14"/>
      <c r="G84" s="14"/>
      <c r="H84" s="14"/>
      <c r="I84" s="14"/>
      <c r="J84" s="14"/>
      <c r="K84" s="14"/>
      <c r="L84" s="14"/>
      <c r="M84" s="24"/>
    </row>
    <row r="85" spans="1:13" x14ac:dyDescent="0.35">
      <c r="B85" s="13" t="s">
        <v>75</v>
      </c>
      <c r="C85" s="14"/>
      <c r="D85" s="26">
        <f>300*20</f>
        <v>6000</v>
      </c>
      <c r="E85" s="14" t="s">
        <v>192</v>
      </c>
      <c r="F85" s="14"/>
      <c r="G85" s="14"/>
      <c r="H85" s="14"/>
      <c r="I85" s="14"/>
      <c r="J85" s="14"/>
      <c r="K85" s="14"/>
      <c r="L85" s="14"/>
      <c r="M85" s="24"/>
    </row>
    <row r="86" spans="1:13" x14ac:dyDescent="0.35">
      <c r="B86" s="13" t="s">
        <v>76</v>
      </c>
      <c r="C86" s="14"/>
      <c r="D86" s="9">
        <f>SUM(D84:D85)</f>
        <v>32100</v>
      </c>
      <c r="E86" s="14"/>
      <c r="F86" s="14"/>
      <c r="G86" s="14"/>
      <c r="H86" s="14"/>
      <c r="I86" s="14"/>
      <c r="J86" s="14"/>
      <c r="K86" s="14"/>
      <c r="L86" s="14"/>
      <c r="M86" s="24"/>
    </row>
    <row r="87" spans="1:13" x14ac:dyDescent="0.35">
      <c r="B87" s="13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24"/>
    </row>
    <row r="88" spans="1:13" x14ac:dyDescent="0.35">
      <c r="B88" s="107" t="s">
        <v>74</v>
      </c>
      <c r="C88" s="108"/>
      <c r="D88" s="14"/>
      <c r="E88" s="14"/>
      <c r="F88" s="14"/>
      <c r="G88" s="14"/>
      <c r="H88" s="14"/>
      <c r="I88" s="14"/>
      <c r="J88" s="14"/>
      <c r="K88" s="14"/>
      <c r="L88" s="14"/>
      <c r="M88" s="24"/>
    </row>
    <row r="89" spans="1:13" x14ac:dyDescent="0.35">
      <c r="B89" s="55">
        <f>300*78</f>
        <v>23400</v>
      </c>
      <c r="C89" s="14" t="s">
        <v>193</v>
      </c>
      <c r="D89" s="14"/>
      <c r="E89" s="14"/>
      <c r="F89" s="14"/>
      <c r="G89" s="14"/>
      <c r="H89" s="14"/>
      <c r="I89" s="14"/>
      <c r="J89" s="14"/>
      <c r="K89" s="14"/>
      <c r="L89" s="14"/>
      <c r="M89" s="24"/>
    </row>
    <row r="90" spans="1:13" x14ac:dyDescent="0.35">
      <c r="B90" s="13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24"/>
    </row>
    <row r="91" spans="1:13" x14ac:dyDescent="0.35">
      <c r="B91" s="107" t="s">
        <v>77</v>
      </c>
      <c r="C91" s="108"/>
      <c r="D91" s="14"/>
      <c r="E91" s="14"/>
      <c r="F91" s="14"/>
      <c r="G91" s="14"/>
      <c r="H91" s="14"/>
      <c r="I91" s="14"/>
      <c r="J91" s="14"/>
      <c r="K91" s="14"/>
      <c r="L91" s="14"/>
      <c r="M91" s="24"/>
    </row>
    <row r="92" spans="1:13" x14ac:dyDescent="0.35">
      <c r="B92" s="13" t="s">
        <v>48</v>
      </c>
      <c r="C92" s="14">
        <v>360</v>
      </c>
      <c r="D92" s="14"/>
      <c r="E92" s="9">
        <f>(C93-C92)*58</f>
        <v>5220</v>
      </c>
      <c r="F92" s="14"/>
      <c r="G92" s="14"/>
      <c r="H92" s="14"/>
      <c r="I92" s="14"/>
      <c r="J92" s="14"/>
      <c r="K92" s="14"/>
      <c r="L92" s="14"/>
      <c r="M92" s="24"/>
    </row>
    <row r="93" spans="1:13" x14ac:dyDescent="0.35">
      <c r="B93" s="30" t="s">
        <v>49</v>
      </c>
      <c r="C93" s="17">
        <v>450</v>
      </c>
      <c r="D93" s="17"/>
      <c r="E93" s="17"/>
      <c r="F93" s="17"/>
      <c r="G93" s="17"/>
      <c r="H93" s="17"/>
      <c r="I93" s="17"/>
      <c r="J93" s="17"/>
      <c r="K93" s="17"/>
      <c r="L93" s="17"/>
      <c r="M93" s="27"/>
    </row>
    <row r="95" spans="1:13" x14ac:dyDescent="0.35">
      <c r="B95" s="19" t="s">
        <v>80</v>
      </c>
      <c r="C95" s="20"/>
      <c r="D95" s="3"/>
      <c r="E95" s="3"/>
      <c r="F95" s="3"/>
      <c r="G95" s="3"/>
      <c r="H95" s="3"/>
      <c r="I95" s="3"/>
      <c r="J95" s="4"/>
    </row>
    <row r="96" spans="1:13" x14ac:dyDescent="0.35">
      <c r="A96" s="1" t="s">
        <v>144</v>
      </c>
      <c r="B96" s="56"/>
      <c r="C96" s="57" t="s">
        <v>34</v>
      </c>
      <c r="D96" s="57"/>
      <c r="E96" s="57"/>
      <c r="F96" s="57"/>
      <c r="G96" s="57"/>
      <c r="H96" s="57" t="s">
        <v>32</v>
      </c>
      <c r="I96" s="57" t="s">
        <v>33</v>
      </c>
      <c r="J96" s="58" t="s">
        <v>147</v>
      </c>
    </row>
    <row r="97" spans="2:10" x14ac:dyDescent="0.35">
      <c r="B97" s="22">
        <v>550</v>
      </c>
      <c r="C97" s="101" t="s">
        <v>8</v>
      </c>
      <c r="D97" s="101"/>
      <c r="E97" s="101"/>
      <c r="F97" s="101"/>
      <c r="G97" s="101"/>
      <c r="H97" s="9">
        <f>I98+I99</f>
        <v>45000</v>
      </c>
      <c r="I97" s="9"/>
      <c r="J97" s="24"/>
    </row>
    <row r="98" spans="2:10" x14ac:dyDescent="0.35">
      <c r="B98" s="13" t="s">
        <v>78</v>
      </c>
      <c r="C98" s="101" t="s">
        <v>79</v>
      </c>
      <c r="D98" s="101"/>
      <c r="E98" s="101"/>
      <c r="F98" s="101"/>
      <c r="G98" s="101"/>
      <c r="H98" s="9"/>
      <c r="I98" s="9">
        <v>5000</v>
      </c>
      <c r="J98" s="24"/>
    </row>
    <row r="99" spans="2:10" x14ac:dyDescent="0.35">
      <c r="B99" s="13" t="s">
        <v>71</v>
      </c>
      <c r="C99" s="101" t="s">
        <v>2</v>
      </c>
      <c r="D99" s="101"/>
      <c r="E99" s="101"/>
      <c r="F99" s="101"/>
      <c r="G99" s="101"/>
      <c r="H99" s="9"/>
      <c r="I99" s="9">
        <v>40000</v>
      </c>
      <c r="J99" s="24"/>
    </row>
    <row r="100" spans="2:10" x14ac:dyDescent="0.35">
      <c r="B100" s="13"/>
      <c r="C100" s="14"/>
      <c r="D100" s="14"/>
      <c r="E100" s="14"/>
      <c r="F100" s="14"/>
      <c r="G100" s="14"/>
      <c r="H100" s="14"/>
      <c r="I100" s="14"/>
      <c r="J100" s="24"/>
    </row>
    <row r="101" spans="2:10" x14ac:dyDescent="0.35">
      <c r="B101" s="56" t="s">
        <v>81</v>
      </c>
      <c r="C101" s="14"/>
      <c r="D101" s="14"/>
      <c r="E101" s="14"/>
      <c r="F101" s="14"/>
      <c r="G101" s="14"/>
      <c r="H101" s="14"/>
      <c r="I101" s="14"/>
      <c r="J101" s="24"/>
    </row>
    <row r="102" spans="2:10" x14ac:dyDescent="0.35">
      <c r="B102" s="56"/>
      <c r="C102" s="57" t="s">
        <v>34</v>
      </c>
      <c r="D102" s="57"/>
      <c r="E102" s="57"/>
      <c r="F102" s="57"/>
      <c r="G102" s="57"/>
      <c r="H102" s="57" t="s">
        <v>32</v>
      </c>
      <c r="I102" s="57" t="s">
        <v>33</v>
      </c>
      <c r="J102" s="58" t="s">
        <v>147</v>
      </c>
    </row>
    <row r="103" spans="2:10" x14ac:dyDescent="0.35">
      <c r="B103" s="22">
        <v>552</v>
      </c>
      <c r="C103" s="101" t="s">
        <v>10</v>
      </c>
      <c r="D103" s="101"/>
      <c r="E103" s="101"/>
      <c r="F103" s="101"/>
      <c r="G103" s="101"/>
      <c r="H103" s="23">
        <f>D86</f>
        <v>32100</v>
      </c>
      <c r="I103" s="14"/>
      <c r="J103" s="24"/>
    </row>
    <row r="104" spans="2:10" x14ac:dyDescent="0.35">
      <c r="B104" s="13" t="s">
        <v>57</v>
      </c>
      <c r="C104" s="101" t="s">
        <v>9</v>
      </c>
      <c r="D104" s="101"/>
      <c r="E104" s="101"/>
      <c r="F104" s="101"/>
      <c r="G104" s="101"/>
      <c r="H104" s="14"/>
      <c r="I104" s="23">
        <f>D86</f>
        <v>32100</v>
      </c>
      <c r="J104" s="24"/>
    </row>
    <row r="105" spans="2:10" x14ac:dyDescent="0.35">
      <c r="B105" s="13"/>
      <c r="C105" s="14"/>
      <c r="D105" s="14"/>
      <c r="E105" s="14"/>
      <c r="F105" s="14"/>
      <c r="G105" s="14"/>
      <c r="H105" s="14"/>
      <c r="I105" s="14"/>
      <c r="J105" s="24"/>
    </row>
    <row r="106" spans="2:10" x14ac:dyDescent="0.35">
      <c r="B106" s="56" t="s">
        <v>74</v>
      </c>
      <c r="C106" s="14"/>
      <c r="D106" s="14"/>
      <c r="E106" s="14"/>
      <c r="F106" s="14"/>
      <c r="G106" s="14"/>
      <c r="H106" s="14"/>
      <c r="I106" s="14"/>
      <c r="J106" s="24"/>
    </row>
    <row r="107" spans="2:10" x14ac:dyDescent="0.35">
      <c r="B107" s="56"/>
      <c r="C107" s="57" t="s">
        <v>34</v>
      </c>
      <c r="D107" s="57"/>
      <c r="E107" s="57"/>
      <c r="F107" s="57"/>
      <c r="G107" s="57"/>
      <c r="H107" s="57" t="s">
        <v>32</v>
      </c>
      <c r="I107" s="57" t="s">
        <v>33</v>
      </c>
      <c r="J107" s="58" t="s">
        <v>147</v>
      </c>
    </row>
    <row r="108" spans="2:10" x14ac:dyDescent="0.35">
      <c r="B108" s="22">
        <v>602</v>
      </c>
      <c r="C108" s="101" t="s">
        <v>14</v>
      </c>
      <c r="D108" s="101"/>
      <c r="E108" s="101"/>
      <c r="F108" s="101"/>
      <c r="G108" s="101"/>
      <c r="H108" s="23">
        <f>B89</f>
        <v>23400</v>
      </c>
      <c r="I108" s="14"/>
      <c r="J108" s="24"/>
    </row>
    <row r="109" spans="2:10" x14ac:dyDescent="0.35">
      <c r="B109" s="13" t="s">
        <v>59</v>
      </c>
      <c r="C109" s="101" t="s">
        <v>11</v>
      </c>
      <c r="D109" s="101"/>
      <c r="E109" s="101"/>
      <c r="F109" s="101"/>
      <c r="G109" s="101"/>
      <c r="H109" s="14"/>
      <c r="I109" s="23">
        <f>B89</f>
        <v>23400</v>
      </c>
      <c r="J109" s="24"/>
    </row>
    <row r="110" spans="2:10" x14ac:dyDescent="0.35">
      <c r="B110" s="13"/>
      <c r="C110" s="14"/>
      <c r="D110" s="14"/>
      <c r="E110" s="14"/>
      <c r="F110" s="14"/>
      <c r="G110" s="14"/>
      <c r="H110" s="14"/>
      <c r="I110" s="14"/>
      <c r="J110" s="24"/>
    </row>
    <row r="111" spans="2:10" x14ac:dyDescent="0.35">
      <c r="B111" s="56" t="s">
        <v>77</v>
      </c>
      <c r="C111" s="57"/>
      <c r="D111" s="14"/>
      <c r="E111" s="14"/>
      <c r="F111" s="14"/>
      <c r="G111" s="14"/>
      <c r="H111" s="14"/>
      <c r="I111" s="14"/>
      <c r="J111" s="24"/>
    </row>
    <row r="112" spans="2:10" x14ac:dyDescent="0.35">
      <c r="B112" s="56"/>
      <c r="C112" s="57" t="s">
        <v>34</v>
      </c>
      <c r="D112" s="57"/>
      <c r="E112" s="57"/>
      <c r="F112" s="57"/>
      <c r="G112" s="57"/>
      <c r="H112" s="57" t="s">
        <v>32</v>
      </c>
      <c r="I112" s="57" t="s">
        <v>33</v>
      </c>
      <c r="J112" s="58" t="s">
        <v>147</v>
      </c>
    </row>
    <row r="113" spans="1:18" x14ac:dyDescent="0.35">
      <c r="B113" s="22">
        <v>175</v>
      </c>
      <c r="C113" s="101" t="s">
        <v>83</v>
      </c>
      <c r="D113" s="101"/>
      <c r="E113" s="101"/>
      <c r="F113" s="101"/>
      <c r="G113" s="101"/>
      <c r="H113" s="23">
        <f>E92</f>
        <v>5220</v>
      </c>
      <c r="I113" s="14"/>
      <c r="J113" s="24"/>
    </row>
    <row r="114" spans="1:18" x14ac:dyDescent="0.35">
      <c r="B114" s="30" t="s">
        <v>82</v>
      </c>
      <c r="C114" s="102" t="s">
        <v>58</v>
      </c>
      <c r="D114" s="102"/>
      <c r="E114" s="102"/>
      <c r="F114" s="102"/>
      <c r="G114" s="102"/>
      <c r="H114" s="17"/>
      <c r="I114" s="16">
        <f>E92</f>
        <v>5220</v>
      </c>
      <c r="J114" s="27"/>
    </row>
    <row r="116" spans="1:18" ht="15" thickBot="1" x14ac:dyDescent="0.4">
      <c r="A116" s="1" t="s">
        <v>25</v>
      </c>
      <c r="B116" s="59" t="s">
        <v>42</v>
      </c>
      <c r="C116" s="125" t="s">
        <v>61</v>
      </c>
      <c r="D116" s="125"/>
      <c r="E116" s="125"/>
      <c r="F116" s="125"/>
      <c r="G116" s="60" t="s">
        <v>25</v>
      </c>
      <c r="H116" s="3"/>
      <c r="I116" s="60" t="s">
        <v>42</v>
      </c>
      <c r="J116" s="125" t="s">
        <v>84</v>
      </c>
      <c r="K116" s="125"/>
      <c r="L116" s="125"/>
      <c r="M116" s="125"/>
      <c r="N116" s="61" t="s">
        <v>25</v>
      </c>
    </row>
    <row r="117" spans="1:18" ht="15" thickTop="1" x14ac:dyDescent="0.35">
      <c r="B117" s="13"/>
      <c r="C117" s="14"/>
      <c r="D117" s="23">
        <f>H97</f>
        <v>45000</v>
      </c>
      <c r="E117" s="62"/>
      <c r="F117" s="14"/>
      <c r="G117" s="14"/>
      <c r="H117" s="38" t="s">
        <v>46</v>
      </c>
      <c r="I117" s="14"/>
      <c r="J117" s="14"/>
      <c r="K117" s="14"/>
      <c r="L117" s="62"/>
      <c r="M117" s="14"/>
      <c r="N117" s="39">
        <f>I104</f>
        <v>32100</v>
      </c>
    </row>
    <row r="118" spans="1:18" x14ac:dyDescent="0.35">
      <c r="B118" s="13"/>
      <c r="C118" s="14"/>
      <c r="D118" s="14"/>
      <c r="E118" s="63"/>
      <c r="F118" s="14"/>
      <c r="G118" s="14"/>
      <c r="H118" s="23">
        <f>N117-D117</f>
        <v>-12900</v>
      </c>
      <c r="I118" s="14" t="s">
        <v>51</v>
      </c>
      <c r="J118" s="14"/>
      <c r="K118" s="14"/>
      <c r="L118" s="63"/>
      <c r="M118" s="14"/>
      <c r="N118" s="24"/>
    </row>
    <row r="119" spans="1:18" x14ac:dyDescent="0.35">
      <c r="B119" s="13"/>
      <c r="C119" s="14"/>
      <c r="D119" s="14"/>
      <c r="E119" s="63"/>
      <c r="F119" s="14"/>
      <c r="G119" s="14"/>
      <c r="H119" s="14"/>
      <c r="I119" s="14"/>
      <c r="J119" s="14"/>
      <c r="K119" s="14"/>
      <c r="L119" s="63"/>
      <c r="M119" s="14"/>
      <c r="N119" s="24"/>
    </row>
    <row r="120" spans="1:18" x14ac:dyDescent="0.35">
      <c r="B120" s="13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24"/>
    </row>
    <row r="121" spans="1:18" x14ac:dyDescent="0.35">
      <c r="B121" s="13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24"/>
    </row>
    <row r="122" spans="1:18" x14ac:dyDescent="0.35">
      <c r="B122" s="13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24"/>
    </row>
    <row r="123" spans="1:18" ht="15" thickBot="1" x14ac:dyDescent="0.4">
      <c r="B123" s="64" t="s">
        <v>42</v>
      </c>
      <c r="C123" s="126" t="s">
        <v>85</v>
      </c>
      <c r="D123" s="126"/>
      <c r="E123" s="126"/>
      <c r="F123" s="126"/>
      <c r="G123" s="65" t="s">
        <v>25</v>
      </c>
      <c r="H123" s="14"/>
      <c r="I123" s="65" t="s">
        <v>42</v>
      </c>
      <c r="J123" s="126" t="s">
        <v>86</v>
      </c>
      <c r="K123" s="126"/>
      <c r="L123" s="126"/>
      <c r="M123" s="126"/>
      <c r="N123" s="66" t="s">
        <v>25</v>
      </c>
    </row>
    <row r="124" spans="1:18" ht="15" thickTop="1" x14ac:dyDescent="0.35">
      <c r="B124" s="13"/>
      <c r="C124" s="14"/>
      <c r="D124" s="23">
        <f>D86</f>
        <v>32100</v>
      </c>
      <c r="E124" s="62"/>
      <c r="F124" s="14"/>
      <c r="G124" s="23">
        <f>I114</f>
        <v>5220</v>
      </c>
      <c r="H124" s="38" t="s">
        <v>20</v>
      </c>
      <c r="I124" s="14"/>
      <c r="J124" s="14"/>
      <c r="K124" s="67"/>
      <c r="L124" s="14"/>
      <c r="M124" s="14"/>
      <c r="N124" s="39">
        <f>I109</f>
        <v>23400</v>
      </c>
    </row>
    <row r="125" spans="1:18" x14ac:dyDescent="0.35">
      <c r="B125" s="30"/>
      <c r="C125" s="17"/>
      <c r="D125" s="17"/>
      <c r="E125" s="68"/>
      <c r="F125" s="17"/>
      <c r="G125" s="17"/>
      <c r="H125" s="16">
        <f>D124-N124-G124</f>
        <v>3480</v>
      </c>
      <c r="I125" s="17" t="s">
        <v>194</v>
      </c>
      <c r="J125" s="17"/>
      <c r="K125" s="69"/>
      <c r="L125" s="17"/>
      <c r="M125" s="17"/>
      <c r="N125" s="27"/>
    </row>
    <row r="128" spans="1:18" x14ac:dyDescent="0.35">
      <c r="A128" s="49"/>
      <c r="B128" s="49"/>
      <c r="C128" s="49"/>
      <c r="D128" s="49"/>
      <c r="E128" s="49"/>
      <c r="F128" s="49"/>
      <c r="G128" s="49"/>
      <c r="H128" s="49"/>
      <c r="I128" s="49"/>
      <c r="J128" s="49"/>
      <c r="K128" s="49"/>
      <c r="L128" s="49"/>
      <c r="M128" s="49"/>
      <c r="N128" s="49"/>
      <c r="O128" s="49"/>
      <c r="P128" s="49"/>
      <c r="Q128" s="49"/>
      <c r="R128" s="49"/>
    </row>
    <row r="129" spans="1:9" x14ac:dyDescent="0.35">
      <c r="A129" s="1">
        <v>4</v>
      </c>
    </row>
    <row r="130" spans="1:9" x14ac:dyDescent="0.35">
      <c r="A130" s="1" t="s">
        <v>142</v>
      </c>
      <c r="B130" s="105" t="s">
        <v>73</v>
      </c>
      <c r="C130" s="106"/>
      <c r="D130" s="3"/>
      <c r="E130" s="3"/>
      <c r="F130" s="3"/>
      <c r="G130" s="3"/>
      <c r="H130" s="3"/>
      <c r="I130" s="4"/>
    </row>
    <row r="131" spans="1:9" x14ac:dyDescent="0.35">
      <c r="B131" s="13" t="s">
        <v>55</v>
      </c>
      <c r="C131" s="14"/>
      <c r="D131" s="9">
        <f>312000/12</f>
        <v>26000</v>
      </c>
      <c r="E131" s="14" t="s">
        <v>87</v>
      </c>
      <c r="F131" s="14"/>
      <c r="G131" s="14"/>
      <c r="H131" s="14"/>
      <c r="I131" s="24"/>
    </row>
    <row r="132" spans="1:9" x14ac:dyDescent="0.35">
      <c r="B132" s="13" t="s">
        <v>75</v>
      </c>
      <c r="C132" s="14"/>
      <c r="D132" s="26">
        <f>6750*9</f>
        <v>60750</v>
      </c>
      <c r="E132" s="14" t="s">
        <v>199</v>
      </c>
      <c r="F132" s="14"/>
      <c r="G132" s="14"/>
      <c r="H132" s="14"/>
      <c r="I132" s="24"/>
    </row>
    <row r="133" spans="1:9" x14ac:dyDescent="0.35">
      <c r="B133" s="13"/>
      <c r="C133" s="14"/>
      <c r="D133" s="9">
        <f>SUM(D131:D132)</f>
        <v>86750</v>
      </c>
      <c r="E133" s="14"/>
      <c r="F133" s="14"/>
      <c r="G133" s="14"/>
      <c r="H133" s="14"/>
      <c r="I133" s="24"/>
    </row>
    <row r="134" spans="1:9" x14ac:dyDescent="0.35">
      <c r="B134" s="13"/>
      <c r="C134" s="14"/>
      <c r="D134" s="14"/>
      <c r="E134" s="14"/>
      <c r="F134" s="14"/>
      <c r="G134" s="14"/>
      <c r="H134" s="14"/>
      <c r="I134" s="24"/>
    </row>
    <row r="135" spans="1:9" x14ac:dyDescent="0.35">
      <c r="B135" s="99" t="s">
        <v>74</v>
      </c>
      <c r="C135" s="100"/>
      <c r="D135" s="14"/>
      <c r="E135" s="14"/>
      <c r="F135" s="14"/>
      <c r="G135" s="14"/>
      <c r="H135" s="14"/>
      <c r="I135" s="24"/>
    </row>
    <row r="136" spans="1:9" x14ac:dyDescent="0.35">
      <c r="B136" s="13" t="s">
        <v>88</v>
      </c>
      <c r="C136" s="26">
        <v>312000</v>
      </c>
      <c r="D136" s="103" t="s">
        <v>24</v>
      </c>
      <c r="E136" s="104">
        <f>C136/C137</f>
        <v>12.48</v>
      </c>
      <c r="F136" s="103" t="s">
        <v>28</v>
      </c>
      <c r="G136" s="127">
        <v>8</v>
      </c>
      <c r="H136" s="103" t="s">
        <v>24</v>
      </c>
      <c r="I136" s="129">
        <f>E136+G136</f>
        <v>20.48</v>
      </c>
    </row>
    <row r="137" spans="1:9" x14ac:dyDescent="0.35">
      <c r="B137" s="13"/>
      <c r="C137" s="11">
        <v>25000</v>
      </c>
      <c r="D137" s="103"/>
      <c r="E137" s="104"/>
      <c r="F137" s="103"/>
      <c r="G137" s="127"/>
      <c r="H137" s="103"/>
      <c r="I137" s="130"/>
    </row>
    <row r="138" spans="1:9" x14ac:dyDescent="0.35">
      <c r="B138" s="13"/>
      <c r="C138" s="14"/>
      <c r="D138" s="14"/>
      <c r="E138" s="14"/>
      <c r="F138" s="14"/>
      <c r="G138" s="14"/>
      <c r="H138" s="14"/>
      <c r="I138" s="24"/>
    </row>
    <row r="139" spans="1:9" x14ac:dyDescent="0.35">
      <c r="B139" s="13" t="s">
        <v>89</v>
      </c>
      <c r="C139" s="23">
        <f>6750*20</f>
        <v>135000</v>
      </c>
      <c r="D139" s="14" t="s">
        <v>195</v>
      </c>
      <c r="E139" s="14"/>
      <c r="F139" s="14"/>
      <c r="G139" s="14"/>
      <c r="H139" s="14"/>
      <c r="I139" s="24"/>
    </row>
    <row r="140" spans="1:9" x14ac:dyDescent="0.35">
      <c r="B140" s="13"/>
      <c r="C140" s="14"/>
      <c r="D140" s="14"/>
      <c r="E140" s="14"/>
      <c r="F140" s="14"/>
      <c r="G140" s="14"/>
      <c r="H140" s="14"/>
      <c r="I140" s="24"/>
    </row>
    <row r="141" spans="1:9" x14ac:dyDescent="0.35">
      <c r="B141" s="99" t="s">
        <v>77</v>
      </c>
      <c r="C141" s="100"/>
      <c r="D141" s="14"/>
      <c r="E141" s="14"/>
      <c r="F141" s="14"/>
      <c r="G141" s="14"/>
      <c r="H141" s="14"/>
      <c r="I141" s="24"/>
    </row>
    <row r="142" spans="1:9" x14ac:dyDescent="0.35">
      <c r="B142" s="13" t="s">
        <v>90</v>
      </c>
      <c r="C142" s="14"/>
      <c r="D142" s="14"/>
      <c r="E142" s="14">
        <f>25000/4</f>
        <v>6250</v>
      </c>
      <c r="F142" s="14" t="s">
        <v>196</v>
      </c>
      <c r="G142" s="14"/>
      <c r="H142" s="14"/>
      <c r="I142" s="24"/>
    </row>
    <row r="143" spans="1:9" x14ac:dyDescent="0.35">
      <c r="B143" s="13" t="s">
        <v>92</v>
      </c>
      <c r="C143" s="14"/>
      <c r="D143" s="14"/>
      <c r="E143" s="11">
        <f>1.25*6250</f>
        <v>7812.5</v>
      </c>
      <c r="F143" s="14" t="s">
        <v>198</v>
      </c>
      <c r="G143" s="14"/>
      <c r="H143" s="14"/>
      <c r="I143" s="24"/>
    </row>
    <row r="144" spans="1:9" x14ac:dyDescent="0.35">
      <c r="B144" s="13" t="s">
        <v>91</v>
      </c>
      <c r="C144" s="14"/>
      <c r="D144" s="14"/>
      <c r="E144" s="11">
        <v>1500</v>
      </c>
      <c r="F144" s="14"/>
      <c r="G144" s="14"/>
      <c r="H144" s="14"/>
      <c r="I144" s="24"/>
    </row>
    <row r="145" spans="1:10" x14ac:dyDescent="0.35">
      <c r="B145" s="13"/>
      <c r="C145" s="14"/>
      <c r="D145" s="14"/>
      <c r="E145" s="14"/>
      <c r="F145" s="14"/>
      <c r="G145" s="14"/>
      <c r="H145" s="14"/>
      <c r="I145" s="24"/>
    </row>
    <row r="146" spans="1:10" x14ac:dyDescent="0.35">
      <c r="B146" s="30" t="s">
        <v>91</v>
      </c>
      <c r="C146" s="17"/>
      <c r="D146" s="26">
        <f>1500*12</f>
        <v>18000</v>
      </c>
      <c r="E146" s="17" t="s">
        <v>197</v>
      </c>
      <c r="F146" s="17"/>
      <c r="G146" s="17"/>
      <c r="H146" s="17"/>
      <c r="I146" s="27"/>
    </row>
    <row r="148" spans="1:10" x14ac:dyDescent="0.35">
      <c r="A148" s="70" t="s">
        <v>144</v>
      </c>
      <c r="B148" s="105" t="s">
        <v>93</v>
      </c>
      <c r="C148" s="106"/>
      <c r="D148" s="3"/>
      <c r="E148" s="3"/>
      <c r="F148" s="3"/>
      <c r="G148" s="3"/>
      <c r="H148" s="3"/>
      <c r="I148" s="3"/>
      <c r="J148" s="4"/>
    </row>
    <row r="149" spans="1:10" x14ac:dyDescent="0.35">
      <c r="B149" s="56"/>
      <c r="C149" s="57" t="s">
        <v>34</v>
      </c>
      <c r="D149" s="57"/>
      <c r="E149" s="57"/>
      <c r="F149" s="57"/>
      <c r="G149" s="57"/>
      <c r="H149" s="57" t="s">
        <v>32</v>
      </c>
      <c r="I149" s="57" t="s">
        <v>33</v>
      </c>
      <c r="J149" s="58" t="s">
        <v>147</v>
      </c>
    </row>
    <row r="150" spans="1:10" x14ac:dyDescent="0.35">
      <c r="B150" s="22">
        <v>550</v>
      </c>
      <c r="C150" s="101" t="s">
        <v>8</v>
      </c>
      <c r="D150" s="101"/>
      <c r="E150" s="101"/>
      <c r="F150" s="101"/>
      <c r="G150" s="101"/>
      <c r="H150" s="23">
        <f>I151+I152</f>
        <v>137650</v>
      </c>
      <c r="I150" s="14"/>
      <c r="J150" s="24"/>
    </row>
    <row r="151" spans="1:10" x14ac:dyDescent="0.35">
      <c r="B151" s="13" t="s">
        <v>78</v>
      </c>
      <c r="C151" s="101" t="s">
        <v>94</v>
      </c>
      <c r="D151" s="101"/>
      <c r="E151" s="101"/>
      <c r="F151" s="101"/>
      <c r="G151" s="101"/>
      <c r="H151" s="14"/>
      <c r="I151" s="9">
        <v>41250</v>
      </c>
      <c r="J151" s="24"/>
    </row>
    <row r="152" spans="1:10" x14ac:dyDescent="0.35">
      <c r="B152" s="13" t="s">
        <v>71</v>
      </c>
      <c r="C152" s="101" t="s">
        <v>2</v>
      </c>
      <c r="D152" s="101"/>
      <c r="E152" s="101"/>
      <c r="F152" s="101"/>
      <c r="G152" s="101"/>
      <c r="H152" s="14"/>
      <c r="I152" s="9">
        <v>96400</v>
      </c>
      <c r="J152" s="24"/>
    </row>
    <row r="153" spans="1:10" x14ac:dyDescent="0.35">
      <c r="B153" s="13"/>
      <c r="C153" s="14"/>
      <c r="D153" s="14"/>
      <c r="E153" s="14"/>
      <c r="F153" s="14"/>
      <c r="G153" s="14"/>
      <c r="H153" s="14"/>
      <c r="I153" s="14"/>
      <c r="J153" s="24"/>
    </row>
    <row r="154" spans="1:10" x14ac:dyDescent="0.35">
      <c r="B154" s="99" t="s">
        <v>81</v>
      </c>
      <c r="C154" s="100"/>
      <c r="D154" s="14"/>
      <c r="E154" s="14"/>
      <c r="F154" s="14"/>
      <c r="G154" s="14"/>
      <c r="H154" s="14"/>
      <c r="I154" s="14"/>
      <c r="J154" s="24"/>
    </row>
    <row r="155" spans="1:10" x14ac:dyDescent="0.35">
      <c r="B155" s="56"/>
      <c r="C155" s="57" t="s">
        <v>34</v>
      </c>
      <c r="D155" s="57"/>
      <c r="E155" s="57"/>
      <c r="F155" s="57"/>
      <c r="G155" s="57"/>
      <c r="H155" s="57" t="s">
        <v>32</v>
      </c>
      <c r="I155" s="57" t="s">
        <v>33</v>
      </c>
      <c r="J155" s="58" t="s">
        <v>147</v>
      </c>
    </row>
    <row r="156" spans="1:10" x14ac:dyDescent="0.35">
      <c r="B156" s="22">
        <v>552</v>
      </c>
      <c r="C156" s="101" t="s">
        <v>10</v>
      </c>
      <c r="D156" s="101"/>
      <c r="E156" s="101"/>
      <c r="F156" s="101"/>
      <c r="G156" s="101"/>
      <c r="H156" s="23">
        <f>D133</f>
        <v>86750</v>
      </c>
      <c r="I156" s="14"/>
      <c r="J156" s="24"/>
    </row>
    <row r="157" spans="1:10" x14ac:dyDescent="0.35">
      <c r="B157" s="13" t="s">
        <v>57</v>
      </c>
      <c r="C157" s="101" t="s">
        <v>9</v>
      </c>
      <c r="D157" s="101"/>
      <c r="E157" s="101"/>
      <c r="F157" s="101"/>
      <c r="G157" s="101"/>
      <c r="H157" s="14"/>
      <c r="I157" s="23">
        <f>D133</f>
        <v>86750</v>
      </c>
      <c r="J157" s="24"/>
    </row>
    <row r="158" spans="1:10" x14ac:dyDescent="0.35">
      <c r="B158" s="13"/>
      <c r="C158" s="14"/>
      <c r="D158" s="14"/>
      <c r="E158" s="14"/>
      <c r="F158" s="14"/>
      <c r="G158" s="14"/>
      <c r="H158" s="14"/>
      <c r="I158" s="14"/>
      <c r="J158" s="24"/>
    </row>
    <row r="159" spans="1:10" x14ac:dyDescent="0.35">
      <c r="B159" s="99" t="s">
        <v>74</v>
      </c>
      <c r="C159" s="100"/>
      <c r="D159" s="14"/>
      <c r="E159" s="14"/>
      <c r="F159" s="14"/>
      <c r="G159" s="14"/>
      <c r="H159" s="14"/>
      <c r="I159" s="14"/>
      <c r="J159" s="24"/>
    </row>
    <row r="160" spans="1:10" x14ac:dyDescent="0.35">
      <c r="B160" s="56"/>
      <c r="C160" s="57" t="s">
        <v>34</v>
      </c>
      <c r="D160" s="57"/>
      <c r="E160" s="57"/>
      <c r="F160" s="57"/>
      <c r="G160" s="57"/>
      <c r="H160" s="57" t="s">
        <v>32</v>
      </c>
      <c r="I160" s="57" t="s">
        <v>33</v>
      </c>
      <c r="J160" s="58" t="s">
        <v>147</v>
      </c>
    </row>
    <row r="161" spans="1:10" x14ac:dyDescent="0.35">
      <c r="B161" s="22">
        <v>602</v>
      </c>
      <c r="C161" s="101" t="s">
        <v>14</v>
      </c>
      <c r="D161" s="101"/>
      <c r="E161" s="101"/>
      <c r="F161" s="101"/>
      <c r="G161" s="101"/>
      <c r="H161" s="23">
        <f>C139</f>
        <v>135000</v>
      </c>
      <c r="I161" s="14"/>
      <c r="J161" s="24"/>
    </row>
    <row r="162" spans="1:10" x14ac:dyDescent="0.35">
      <c r="B162" s="13" t="s">
        <v>59</v>
      </c>
      <c r="C162" s="101" t="s">
        <v>11</v>
      </c>
      <c r="D162" s="101"/>
      <c r="E162" s="101"/>
      <c r="F162" s="101"/>
      <c r="G162" s="101"/>
      <c r="H162" s="14"/>
      <c r="I162" s="23">
        <f>C139</f>
        <v>135000</v>
      </c>
      <c r="J162" s="24"/>
    </row>
    <row r="163" spans="1:10" x14ac:dyDescent="0.35">
      <c r="B163" s="13"/>
      <c r="C163" s="14"/>
      <c r="D163" s="14"/>
      <c r="E163" s="14"/>
      <c r="F163" s="14"/>
      <c r="G163" s="14"/>
      <c r="H163" s="14"/>
      <c r="I163" s="14"/>
      <c r="J163" s="24"/>
    </row>
    <row r="164" spans="1:10" x14ac:dyDescent="0.35">
      <c r="B164" s="99" t="s">
        <v>77</v>
      </c>
      <c r="C164" s="100"/>
      <c r="D164" s="14"/>
      <c r="E164" s="14"/>
      <c r="F164" s="14"/>
      <c r="G164" s="14"/>
      <c r="H164" s="14"/>
      <c r="I164" s="14"/>
      <c r="J164" s="24"/>
    </row>
    <row r="165" spans="1:10" x14ac:dyDescent="0.35">
      <c r="B165" s="56"/>
      <c r="C165" s="57" t="s">
        <v>34</v>
      </c>
      <c r="D165" s="57"/>
      <c r="E165" s="57"/>
      <c r="F165" s="57"/>
      <c r="G165" s="57"/>
      <c r="H165" s="57" t="s">
        <v>32</v>
      </c>
      <c r="I165" s="57" t="s">
        <v>33</v>
      </c>
      <c r="J165" s="58" t="s">
        <v>147</v>
      </c>
    </row>
    <row r="166" spans="1:10" x14ac:dyDescent="0.35">
      <c r="B166" s="22">
        <v>552</v>
      </c>
      <c r="C166" s="101" t="s">
        <v>58</v>
      </c>
      <c r="D166" s="101"/>
      <c r="E166" s="101"/>
      <c r="F166" s="101"/>
      <c r="G166" s="101"/>
      <c r="H166" s="23">
        <f>D146</f>
        <v>18000</v>
      </c>
      <c r="I166" s="14"/>
      <c r="J166" s="24"/>
    </row>
    <row r="167" spans="1:10" x14ac:dyDescent="0.35">
      <c r="B167" s="13" t="s">
        <v>96</v>
      </c>
      <c r="C167" s="101" t="s">
        <v>95</v>
      </c>
      <c r="D167" s="101"/>
      <c r="E167" s="101"/>
      <c r="F167" s="101"/>
      <c r="G167" s="101"/>
      <c r="H167" s="14"/>
      <c r="I167" s="23">
        <f>D146</f>
        <v>18000</v>
      </c>
      <c r="J167" s="24"/>
    </row>
    <row r="168" spans="1:10" x14ac:dyDescent="0.35">
      <c r="B168" s="30"/>
      <c r="C168" s="17"/>
      <c r="D168" s="17"/>
      <c r="E168" s="17"/>
      <c r="F168" s="17"/>
      <c r="G168" s="17"/>
      <c r="H168" s="17"/>
      <c r="I168" s="17"/>
      <c r="J168" s="27"/>
    </row>
    <row r="169" spans="1:10" x14ac:dyDescent="0.35">
      <c r="A169" s="1" t="s">
        <v>25</v>
      </c>
      <c r="B169" s="105" t="s">
        <v>97</v>
      </c>
      <c r="C169" s="106"/>
      <c r="D169" s="3"/>
      <c r="E169" s="3"/>
      <c r="F169" s="4"/>
    </row>
    <row r="170" spans="1:10" x14ac:dyDescent="0.35">
      <c r="B170" s="115" t="s">
        <v>8</v>
      </c>
      <c r="C170" s="101"/>
      <c r="D170" s="101"/>
      <c r="E170" s="23">
        <f>H150</f>
        <v>137650</v>
      </c>
      <c r="F170" s="24"/>
    </row>
    <row r="171" spans="1:10" x14ac:dyDescent="0.35">
      <c r="B171" s="115" t="s">
        <v>9</v>
      </c>
      <c r="C171" s="101"/>
      <c r="D171" s="101"/>
      <c r="E171" s="16">
        <f>I157</f>
        <v>86750</v>
      </c>
      <c r="F171" s="24" t="s">
        <v>98</v>
      </c>
    </row>
    <row r="172" spans="1:10" x14ac:dyDescent="0.35">
      <c r="B172" s="115" t="s">
        <v>46</v>
      </c>
      <c r="C172" s="101"/>
      <c r="D172" s="101"/>
      <c r="E172" s="23">
        <f>E170-E171</f>
        <v>50900</v>
      </c>
      <c r="F172" s="24" t="s">
        <v>194</v>
      </c>
    </row>
    <row r="173" spans="1:10" x14ac:dyDescent="0.35">
      <c r="B173" s="13"/>
      <c r="C173" s="14"/>
      <c r="D173" s="14"/>
      <c r="E173" s="14"/>
      <c r="F173" s="24"/>
    </row>
    <row r="174" spans="1:10" x14ac:dyDescent="0.35">
      <c r="B174" s="99" t="s">
        <v>99</v>
      </c>
      <c r="C174" s="100"/>
      <c r="D174" s="14"/>
      <c r="E174" s="14"/>
      <c r="F174" s="24"/>
    </row>
    <row r="175" spans="1:10" x14ac:dyDescent="0.35">
      <c r="B175" s="115" t="s">
        <v>10</v>
      </c>
      <c r="C175" s="101"/>
      <c r="D175" s="101"/>
      <c r="E175" s="23">
        <f>H156</f>
        <v>86750</v>
      </c>
      <c r="F175" s="24"/>
    </row>
    <row r="176" spans="1:10" x14ac:dyDescent="0.35">
      <c r="B176" s="115" t="s">
        <v>11</v>
      </c>
      <c r="C176" s="101"/>
      <c r="D176" s="101"/>
      <c r="E176" s="16">
        <f>I162</f>
        <v>135000</v>
      </c>
      <c r="F176" s="24"/>
    </row>
    <row r="177" spans="1:17" x14ac:dyDescent="0.35">
      <c r="B177" s="128" t="s">
        <v>99</v>
      </c>
      <c r="C177" s="102"/>
      <c r="D177" s="102"/>
      <c r="E177" s="16">
        <f>E176-E175</f>
        <v>48250</v>
      </c>
      <c r="F177" s="27" t="s">
        <v>194</v>
      </c>
    </row>
    <row r="179" spans="1:17" x14ac:dyDescent="0.35">
      <c r="A179" s="1" t="s">
        <v>42</v>
      </c>
      <c r="B179" s="19"/>
      <c r="C179" s="20" t="s">
        <v>34</v>
      </c>
      <c r="D179" s="20"/>
      <c r="E179" s="20"/>
      <c r="F179" s="20"/>
      <c r="G179" s="20"/>
      <c r="H179" s="20" t="s">
        <v>32</v>
      </c>
      <c r="I179" s="20" t="s">
        <v>33</v>
      </c>
      <c r="J179" s="21" t="s">
        <v>147</v>
      </c>
    </row>
    <row r="180" spans="1:17" x14ac:dyDescent="0.35">
      <c r="B180" s="22">
        <v>930</v>
      </c>
      <c r="C180" s="101" t="s">
        <v>97</v>
      </c>
      <c r="D180" s="101"/>
      <c r="E180" s="101"/>
      <c r="F180" s="101"/>
      <c r="G180" s="101"/>
      <c r="H180" s="23">
        <f>E172</f>
        <v>50900</v>
      </c>
      <c r="I180" s="14"/>
      <c r="J180" s="24"/>
    </row>
    <row r="181" spans="1:17" x14ac:dyDescent="0.35">
      <c r="B181" s="22">
        <v>935</v>
      </c>
      <c r="C181" s="101" t="s">
        <v>20</v>
      </c>
      <c r="D181" s="101"/>
      <c r="E181" s="101"/>
      <c r="F181" s="101"/>
      <c r="G181" s="101"/>
      <c r="H181" s="23">
        <f>E177</f>
        <v>48250</v>
      </c>
      <c r="I181" s="14"/>
      <c r="J181" s="24"/>
    </row>
    <row r="182" spans="1:17" x14ac:dyDescent="0.35">
      <c r="B182" s="30" t="s">
        <v>66</v>
      </c>
      <c r="C182" s="102" t="s">
        <v>2</v>
      </c>
      <c r="D182" s="102"/>
      <c r="E182" s="102"/>
      <c r="F182" s="102"/>
      <c r="G182" s="102"/>
      <c r="H182" s="17"/>
      <c r="I182" s="16">
        <f>H180+H181</f>
        <v>99150</v>
      </c>
      <c r="J182" s="27"/>
    </row>
    <row r="186" spans="1:17" x14ac:dyDescent="0.35">
      <c r="A186" s="1">
        <v>5</v>
      </c>
      <c r="Q186" s="5" t="s">
        <v>72</v>
      </c>
    </row>
    <row r="187" spans="1:17" x14ac:dyDescent="0.35">
      <c r="A187" s="71" t="s">
        <v>142</v>
      </c>
      <c r="B187" s="72" t="s">
        <v>110</v>
      </c>
      <c r="C187" s="73"/>
      <c r="D187" s="74"/>
    </row>
    <row r="188" spans="1:17" x14ac:dyDescent="0.35">
      <c r="B188" s="75"/>
      <c r="C188" s="20" t="s">
        <v>34</v>
      </c>
      <c r="D188" s="20"/>
      <c r="E188" s="20"/>
      <c r="F188" s="20"/>
      <c r="G188" s="20"/>
      <c r="H188" s="20" t="s">
        <v>32</v>
      </c>
      <c r="I188" s="20" t="s">
        <v>33</v>
      </c>
      <c r="J188" s="20" t="s">
        <v>143</v>
      </c>
      <c r="K188" s="4"/>
    </row>
    <row r="189" spans="1:17" x14ac:dyDescent="0.35">
      <c r="B189" s="22">
        <v>550</v>
      </c>
      <c r="C189" s="101" t="s">
        <v>111</v>
      </c>
      <c r="D189" s="101"/>
      <c r="E189" s="101"/>
      <c r="F189" s="101"/>
      <c r="G189" s="101"/>
      <c r="H189" s="9">
        <v>94200</v>
      </c>
      <c r="I189" s="9"/>
      <c r="J189" s="14"/>
      <c r="K189" s="24"/>
    </row>
    <row r="190" spans="1:17" x14ac:dyDescent="0.35">
      <c r="B190" s="22">
        <v>560</v>
      </c>
      <c r="C190" s="101" t="s">
        <v>112</v>
      </c>
      <c r="D190" s="101"/>
      <c r="E190" s="101"/>
      <c r="F190" s="101"/>
      <c r="G190" s="101"/>
      <c r="H190" s="9">
        <v>33000</v>
      </c>
      <c r="I190" s="9"/>
      <c r="J190" s="14"/>
      <c r="K190" s="24"/>
    </row>
    <row r="191" spans="1:17" x14ac:dyDescent="0.35">
      <c r="B191" s="22">
        <v>600</v>
      </c>
      <c r="C191" s="101" t="s">
        <v>13</v>
      </c>
      <c r="D191" s="101"/>
      <c r="E191" s="101"/>
      <c r="F191" s="101"/>
      <c r="G191" s="101"/>
      <c r="H191" s="9">
        <v>195000</v>
      </c>
      <c r="I191" s="9"/>
      <c r="J191" s="14"/>
      <c r="K191" s="24"/>
    </row>
    <row r="192" spans="1:17" x14ac:dyDescent="0.35">
      <c r="B192" s="22">
        <v>630</v>
      </c>
      <c r="C192" s="101" t="s">
        <v>16</v>
      </c>
      <c r="D192" s="101"/>
      <c r="E192" s="101"/>
      <c r="F192" s="101"/>
      <c r="G192" s="101"/>
      <c r="H192" s="9">
        <v>302250</v>
      </c>
      <c r="I192" s="9"/>
      <c r="J192" s="14"/>
      <c r="K192" s="24"/>
    </row>
    <row r="193" spans="2:11" x14ac:dyDescent="0.35">
      <c r="B193" s="22">
        <v>990</v>
      </c>
      <c r="C193" s="101" t="s">
        <v>113</v>
      </c>
      <c r="D193" s="101"/>
      <c r="E193" s="101"/>
      <c r="F193" s="101"/>
      <c r="G193" s="101"/>
      <c r="H193" s="9">
        <v>340520</v>
      </c>
      <c r="I193" s="9"/>
      <c r="J193" s="113" t="s">
        <v>200</v>
      </c>
      <c r="K193" s="122"/>
    </row>
    <row r="194" spans="2:11" x14ac:dyDescent="0.35">
      <c r="B194" s="30" t="s">
        <v>71</v>
      </c>
      <c r="C194" s="102" t="s">
        <v>2</v>
      </c>
      <c r="D194" s="102"/>
      <c r="E194" s="102"/>
      <c r="F194" s="102"/>
      <c r="G194" s="102"/>
      <c r="H194" s="26"/>
      <c r="I194" s="26">
        <f>H189+H190+H191+H192+H193</f>
        <v>964970</v>
      </c>
      <c r="J194" s="17"/>
      <c r="K194" s="27"/>
    </row>
    <row r="195" spans="2:11" x14ac:dyDescent="0.35">
      <c r="H195" s="76"/>
      <c r="I195" s="76"/>
    </row>
    <row r="196" spans="2:11" x14ac:dyDescent="0.35">
      <c r="B196" s="77" t="s">
        <v>118</v>
      </c>
      <c r="C196" s="78"/>
      <c r="H196" s="76"/>
      <c r="I196" s="76"/>
    </row>
    <row r="197" spans="2:11" x14ac:dyDescent="0.35">
      <c r="B197" s="19"/>
      <c r="C197" s="20" t="s">
        <v>34</v>
      </c>
      <c r="D197" s="20"/>
      <c r="E197" s="20"/>
      <c r="F197" s="20"/>
      <c r="G197" s="20"/>
      <c r="H197" s="20" t="s">
        <v>32</v>
      </c>
      <c r="I197" s="20" t="s">
        <v>33</v>
      </c>
      <c r="J197" s="20" t="s">
        <v>143</v>
      </c>
      <c r="K197" s="4"/>
    </row>
    <row r="198" spans="2:11" x14ac:dyDescent="0.35">
      <c r="B198" s="22">
        <v>601</v>
      </c>
      <c r="C198" s="101" t="s">
        <v>109</v>
      </c>
      <c r="D198" s="101"/>
      <c r="E198" s="101"/>
      <c r="F198" s="101"/>
      <c r="G198" s="101"/>
      <c r="H198" s="9">
        <f>13200*25</f>
        <v>330000</v>
      </c>
      <c r="I198" s="9"/>
      <c r="J198" s="113" t="s">
        <v>201</v>
      </c>
      <c r="K198" s="122"/>
    </row>
    <row r="199" spans="2:11" x14ac:dyDescent="0.35">
      <c r="B199" s="30" t="s">
        <v>115</v>
      </c>
      <c r="C199" s="102" t="s">
        <v>17</v>
      </c>
      <c r="D199" s="102"/>
      <c r="E199" s="102"/>
      <c r="F199" s="102"/>
      <c r="G199" s="102"/>
      <c r="H199" s="26"/>
      <c r="I199" s="26">
        <f>H198</f>
        <v>330000</v>
      </c>
      <c r="J199" s="17"/>
      <c r="K199" s="27"/>
    </row>
    <row r="201" spans="2:11" x14ac:dyDescent="0.35">
      <c r="B201" s="77" t="s">
        <v>114</v>
      </c>
      <c r="C201" s="79"/>
    </row>
    <row r="202" spans="2:11" x14ac:dyDescent="0.35">
      <c r="B202" s="19"/>
      <c r="C202" s="20" t="s">
        <v>34</v>
      </c>
      <c r="D202" s="20"/>
      <c r="E202" s="20"/>
      <c r="F202" s="20"/>
      <c r="G202" s="20"/>
      <c r="H202" s="20" t="s">
        <v>32</v>
      </c>
      <c r="I202" s="20" t="s">
        <v>33</v>
      </c>
      <c r="J202" s="20" t="s">
        <v>143</v>
      </c>
      <c r="K202" s="4"/>
    </row>
    <row r="203" spans="2:11" x14ac:dyDescent="0.35">
      <c r="B203" s="22">
        <v>602</v>
      </c>
      <c r="C203" s="101" t="s">
        <v>116</v>
      </c>
      <c r="D203" s="101"/>
      <c r="E203" s="101"/>
      <c r="F203" s="101"/>
      <c r="G203" s="101"/>
      <c r="H203" s="9">
        <f>10000*10</f>
        <v>100000</v>
      </c>
      <c r="I203" s="9"/>
      <c r="J203" s="113" t="s">
        <v>202</v>
      </c>
      <c r="K203" s="122"/>
    </row>
    <row r="204" spans="2:11" x14ac:dyDescent="0.35">
      <c r="B204" s="30" t="s">
        <v>59</v>
      </c>
      <c r="C204" s="102" t="s">
        <v>117</v>
      </c>
      <c r="D204" s="102"/>
      <c r="E204" s="102"/>
      <c r="F204" s="102"/>
      <c r="G204" s="102"/>
      <c r="H204" s="26"/>
      <c r="I204" s="26">
        <f>H203</f>
        <v>100000</v>
      </c>
      <c r="J204" s="17"/>
      <c r="K204" s="27"/>
    </row>
    <row r="206" spans="2:11" x14ac:dyDescent="0.35">
      <c r="B206" s="77" t="s">
        <v>119</v>
      </c>
      <c r="C206" s="79"/>
    </row>
    <row r="207" spans="2:11" x14ac:dyDescent="0.35">
      <c r="B207" s="19"/>
      <c r="C207" s="20" t="s">
        <v>34</v>
      </c>
      <c r="D207" s="20"/>
      <c r="E207" s="20"/>
      <c r="F207" s="20"/>
      <c r="G207" s="20"/>
      <c r="H207" s="20" t="s">
        <v>32</v>
      </c>
      <c r="I207" s="20" t="s">
        <v>33</v>
      </c>
      <c r="J207" s="20" t="s">
        <v>143</v>
      </c>
      <c r="K207" s="4"/>
    </row>
    <row r="208" spans="2:11" x14ac:dyDescent="0.35">
      <c r="B208" s="22">
        <v>700</v>
      </c>
      <c r="C208" s="101" t="s">
        <v>105</v>
      </c>
      <c r="D208" s="101"/>
      <c r="E208" s="101"/>
      <c r="F208" s="101"/>
      <c r="G208" s="101"/>
      <c r="H208" s="9">
        <f>3500*190</f>
        <v>665000</v>
      </c>
      <c r="I208" s="9"/>
      <c r="J208" s="14" t="s">
        <v>203</v>
      </c>
      <c r="K208" s="24"/>
    </row>
    <row r="209" spans="2:11" x14ac:dyDescent="0.35">
      <c r="B209" s="13" t="s">
        <v>102</v>
      </c>
      <c r="C209" s="101" t="s">
        <v>15</v>
      </c>
      <c r="D209" s="101"/>
      <c r="E209" s="101"/>
      <c r="F209" s="101"/>
      <c r="G209" s="101"/>
      <c r="H209" s="9"/>
      <c r="I209" s="9">
        <f>3500*60</f>
        <v>210000</v>
      </c>
      <c r="J209" s="14" t="s">
        <v>204</v>
      </c>
      <c r="K209" s="24"/>
    </row>
    <row r="210" spans="2:11" x14ac:dyDescent="0.35">
      <c r="B210" s="13" t="s">
        <v>104</v>
      </c>
      <c r="C210" s="101" t="s">
        <v>120</v>
      </c>
      <c r="D210" s="101"/>
      <c r="E210" s="101"/>
      <c r="F210" s="101"/>
      <c r="G210" s="101"/>
      <c r="H210" s="9"/>
      <c r="I210" s="9">
        <f>3500*100</f>
        <v>350000</v>
      </c>
      <c r="J210" s="14" t="s">
        <v>205</v>
      </c>
      <c r="K210" s="24"/>
    </row>
    <row r="211" spans="2:11" x14ac:dyDescent="0.35">
      <c r="B211" s="13" t="s">
        <v>103</v>
      </c>
      <c r="C211" s="101" t="s">
        <v>121</v>
      </c>
      <c r="D211" s="101"/>
      <c r="E211" s="101"/>
      <c r="F211" s="101"/>
      <c r="G211" s="101"/>
      <c r="H211" s="9"/>
      <c r="I211" s="9">
        <f>3500*30</f>
        <v>105000</v>
      </c>
      <c r="J211" s="14" t="s">
        <v>206</v>
      </c>
      <c r="K211" s="24"/>
    </row>
    <row r="212" spans="2:11" x14ac:dyDescent="0.35">
      <c r="B212" s="30"/>
      <c r="C212" s="17"/>
      <c r="D212" s="17"/>
      <c r="E212" s="17"/>
      <c r="F212" s="17"/>
      <c r="G212" s="17"/>
      <c r="H212" s="17"/>
      <c r="I212" s="17"/>
      <c r="J212" s="17"/>
      <c r="K212" s="27"/>
    </row>
    <row r="213" spans="2:11" x14ac:dyDescent="0.35">
      <c r="B213" s="80" t="s">
        <v>209</v>
      </c>
      <c r="C213" s="81"/>
      <c r="D213" s="81"/>
      <c r="E213" s="82"/>
    </row>
    <row r="214" spans="2:11" x14ac:dyDescent="0.35">
      <c r="B214" s="19"/>
      <c r="C214" s="20" t="s">
        <v>34</v>
      </c>
      <c r="D214" s="20"/>
      <c r="E214" s="20"/>
      <c r="F214" s="20"/>
      <c r="G214" s="20"/>
      <c r="H214" s="20" t="s">
        <v>32</v>
      </c>
      <c r="I214" s="20" t="s">
        <v>33</v>
      </c>
      <c r="J214" s="20" t="s">
        <v>143</v>
      </c>
      <c r="K214" s="4"/>
    </row>
    <row r="215" spans="2:11" x14ac:dyDescent="0.35">
      <c r="B215" s="83">
        <v>130</v>
      </c>
      <c r="C215" s="101" t="s">
        <v>0</v>
      </c>
      <c r="D215" s="101"/>
      <c r="E215" s="101"/>
      <c r="F215" s="101"/>
      <c r="G215" s="101"/>
      <c r="H215" s="9">
        <f>I217+I216</f>
        <v>1626240</v>
      </c>
      <c r="I215" s="9"/>
      <c r="J215" s="14"/>
      <c r="K215" s="24"/>
    </row>
    <row r="216" spans="2:11" x14ac:dyDescent="0.35">
      <c r="B216" s="13" t="s">
        <v>106</v>
      </c>
      <c r="C216" s="101" t="s">
        <v>1</v>
      </c>
      <c r="D216" s="101"/>
      <c r="E216" s="101"/>
      <c r="F216" s="101"/>
      <c r="G216" s="101"/>
      <c r="H216" s="9"/>
      <c r="I216" s="9">
        <f>0.21*I217</f>
        <v>282240</v>
      </c>
      <c r="J216" s="14" t="s">
        <v>208</v>
      </c>
      <c r="K216" s="24"/>
    </row>
    <row r="217" spans="2:11" x14ac:dyDescent="0.35">
      <c r="B217" s="30" t="s">
        <v>122</v>
      </c>
      <c r="C217" s="102" t="s">
        <v>126</v>
      </c>
      <c r="D217" s="102"/>
      <c r="E217" s="102"/>
      <c r="F217" s="102"/>
      <c r="G217" s="102"/>
      <c r="H217" s="26"/>
      <c r="I217" s="26">
        <f>4200*320</f>
        <v>1344000</v>
      </c>
      <c r="J217" s="17" t="s">
        <v>207</v>
      </c>
      <c r="K217" s="27"/>
    </row>
    <row r="219" spans="2:11" x14ac:dyDescent="0.35">
      <c r="B219" s="19" t="s">
        <v>210</v>
      </c>
      <c r="C219" s="20"/>
      <c r="D219" s="21"/>
    </row>
    <row r="220" spans="2:11" x14ac:dyDescent="0.35">
      <c r="B220" s="19"/>
      <c r="C220" s="20" t="s">
        <v>34</v>
      </c>
      <c r="D220" s="20"/>
      <c r="E220" s="20"/>
      <c r="F220" s="20"/>
      <c r="G220" s="20"/>
      <c r="H220" s="20" t="s">
        <v>32</v>
      </c>
      <c r="I220" s="20" t="s">
        <v>33</v>
      </c>
      <c r="J220" s="21" t="s">
        <v>143</v>
      </c>
    </row>
    <row r="221" spans="2:11" x14ac:dyDescent="0.35">
      <c r="B221" s="22">
        <v>800</v>
      </c>
      <c r="C221" s="101" t="s">
        <v>19</v>
      </c>
      <c r="D221" s="101"/>
      <c r="E221" s="101"/>
      <c r="F221" s="101"/>
      <c r="G221" s="101"/>
      <c r="H221" s="9">
        <f>3500*190</f>
        <v>665000</v>
      </c>
      <c r="I221" s="9"/>
      <c r="J221" s="24" t="s">
        <v>203</v>
      </c>
    </row>
    <row r="222" spans="2:11" x14ac:dyDescent="0.35">
      <c r="B222" s="30" t="s">
        <v>107</v>
      </c>
      <c r="C222" s="102" t="s">
        <v>123</v>
      </c>
      <c r="D222" s="102"/>
      <c r="E222" s="102"/>
      <c r="F222" s="102"/>
      <c r="G222" s="102"/>
      <c r="H222" s="26"/>
      <c r="I222" s="26">
        <f>H221</f>
        <v>665000</v>
      </c>
      <c r="J222" s="27"/>
    </row>
    <row r="224" spans="2:11" x14ac:dyDescent="0.35">
      <c r="B224" s="19" t="s">
        <v>124</v>
      </c>
      <c r="C224" s="84"/>
      <c r="D224" s="84"/>
      <c r="E224" s="85"/>
    </row>
    <row r="225" spans="1:11" x14ac:dyDescent="0.35">
      <c r="B225" s="19"/>
      <c r="C225" s="20" t="s">
        <v>34</v>
      </c>
      <c r="D225" s="20"/>
      <c r="E225" s="20"/>
      <c r="F225" s="20"/>
      <c r="G225" s="20"/>
      <c r="H225" s="20" t="s">
        <v>32</v>
      </c>
      <c r="I225" s="20" t="s">
        <v>33</v>
      </c>
      <c r="J225" s="20" t="s">
        <v>143</v>
      </c>
      <c r="K225" s="4"/>
    </row>
    <row r="226" spans="1:11" x14ac:dyDescent="0.35">
      <c r="B226" s="22">
        <v>820</v>
      </c>
      <c r="C226" s="101" t="s">
        <v>124</v>
      </c>
      <c r="D226" s="101"/>
      <c r="E226" s="101"/>
      <c r="F226" s="101"/>
      <c r="G226" s="101"/>
      <c r="H226" s="9">
        <f>3/100*I217</f>
        <v>40320</v>
      </c>
      <c r="I226" s="9"/>
      <c r="J226" s="14" t="s">
        <v>211</v>
      </c>
      <c r="K226" s="24"/>
    </row>
    <row r="227" spans="1:11" x14ac:dyDescent="0.35">
      <c r="B227" s="30" t="s">
        <v>108</v>
      </c>
      <c r="C227" s="102" t="s">
        <v>125</v>
      </c>
      <c r="D227" s="102"/>
      <c r="E227" s="102"/>
      <c r="F227" s="102"/>
      <c r="G227" s="102"/>
      <c r="H227" s="26"/>
      <c r="I227" s="26">
        <f>H226</f>
        <v>40320</v>
      </c>
      <c r="J227" s="17"/>
      <c r="K227" s="27"/>
    </row>
    <row r="229" spans="1:11" x14ac:dyDescent="0.35">
      <c r="A229" s="71" t="s">
        <v>144</v>
      </c>
      <c r="B229" s="86" t="s">
        <v>127</v>
      </c>
      <c r="C229" s="87"/>
    </row>
    <row r="230" spans="1:11" x14ac:dyDescent="0.35">
      <c r="B230" s="105" t="s">
        <v>100</v>
      </c>
      <c r="C230" s="106"/>
      <c r="D230" s="106"/>
      <c r="E230" s="106"/>
      <c r="F230" s="106"/>
      <c r="G230" s="3"/>
      <c r="H230" s="4"/>
    </row>
    <row r="231" spans="1:11" x14ac:dyDescent="0.35">
      <c r="B231" s="115" t="s">
        <v>111</v>
      </c>
      <c r="C231" s="101"/>
      <c r="D231" s="101"/>
      <c r="E231" s="101"/>
      <c r="F231" s="101"/>
      <c r="G231" s="23">
        <f>H189</f>
        <v>94200</v>
      </c>
      <c r="H231" s="24"/>
    </row>
    <row r="232" spans="1:11" x14ac:dyDescent="0.35">
      <c r="B232" s="115" t="s">
        <v>117</v>
      </c>
      <c r="C232" s="101"/>
      <c r="D232" s="101"/>
      <c r="E232" s="101"/>
      <c r="F232" s="101"/>
      <c r="G232" s="16">
        <f>I204</f>
        <v>100000</v>
      </c>
      <c r="H232" s="24"/>
    </row>
    <row r="233" spans="1:11" x14ac:dyDescent="0.35">
      <c r="B233" s="13"/>
      <c r="C233" s="14"/>
      <c r="D233" s="14"/>
      <c r="E233" s="14"/>
      <c r="F233" s="14"/>
      <c r="G233" s="23">
        <f>G232-G231</f>
        <v>5800</v>
      </c>
      <c r="H233" s="24" t="s">
        <v>69</v>
      </c>
    </row>
    <row r="234" spans="1:11" x14ac:dyDescent="0.35">
      <c r="B234" s="13"/>
      <c r="C234" s="14"/>
      <c r="D234" s="14"/>
      <c r="E234" s="14"/>
      <c r="F234" s="14"/>
      <c r="G234" s="14"/>
      <c r="H234" s="24"/>
    </row>
    <row r="235" spans="1:11" x14ac:dyDescent="0.35">
      <c r="B235" s="99" t="s">
        <v>101</v>
      </c>
      <c r="C235" s="100"/>
      <c r="D235" s="100"/>
      <c r="E235" s="100"/>
      <c r="F235" s="100"/>
      <c r="G235" s="14"/>
      <c r="H235" s="24"/>
    </row>
    <row r="236" spans="1:11" x14ac:dyDescent="0.35">
      <c r="B236" s="115" t="s">
        <v>112</v>
      </c>
      <c r="C236" s="101"/>
      <c r="D236" s="101"/>
      <c r="E236" s="101"/>
      <c r="F236" s="101"/>
      <c r="G236" s="23">
        <f>H190</f>
        <v>33000</v>
      </c>
      <c r="H236" s="24"/>
    </row>
    <row r="237" spans="1:11" x14ac:dyDescent="0.35">
      <c r="B237" s="115" t="s">
        <v>125</v>
      </c>
      <c r="C237" s="101"/>
      <c r="D237" s="101"/>
      <c r="E237" s="101"/>
      <c r="F237" s="101"/>
      <c r="G237" s="16">
        <f>I227</f>
        <v>40320</v>
      </c>
      <c r="H237" s="24"/>
    </row>
    <row r="238" spans="1:11" x14ac:dyDescent="0.35">
      <c r="B238" s="13"/>
      <c r="C238" s="14"/>
      <c r="D238" s="14"/>
      <c r="E238" s="14"/>
      <c r="F238" s="14"/>
      <c r="G238" s="23">
        <f>G236-G237</f>
        <v>-7320</v>
      </c>
      <c r="H238" s="24" t="s">
        <v>47</v>
      </c>
    </row>
    <row r="239" spans="1:11" x14ac:dyDescent="0.35">
      <c r="B239" s="13"/>
      <c r="C239" s="14"/>
      <c r="D239" s="14"/>
      <c r="E239" s="14"/>
      <c r="F239" s="14"/>
      <c r="G239" s="17"/>
      <c r="H239" s="24"/>
    </row>
    <row r="240" spans="1:11" x14ac:dyDescent="0.35">
      <c r="B240" s="30"/>
      <c r="C240" s="17"/>
      <c r="D240" s="17"/>
      <c r="E240" s="17"/>
      <c r="F240" s="17"/>
      <c r="G240" s="47">
        <f>G233-G238</f>
        <v>13120</v>
      </c>
      <c r="H240" s="27" t="s">
        <v>69</v>
      </c>
    </row>
    <row r="241" spans="2:10" x14ac:dyDescent="0.35">
      <c r="B241" s="88" t="s">
        <v>128</v>
      </c>
      <c r="C241" s="79"/>
    </row>
    <row r="242" spans="2:10" x14ac:dyDescent="0.35">
      <c r="B242" s="19"/>
      <c r="C242" s="20" t="s">
        <v>34</v>
      </c>
      <c r="D242" s="20"/>
      <c r="E242" s="20"/>
      <c r="F242" s="20"/>
      <c r="G242" s="20"/>
      <c r="H242" s="20" t="s">
        <v>32</v>
      </c>
      <c r="I242" s="20" t="s">
        <v>33</v>
      </c>
      <c r="J242" s="21" t="s">
        <v>143</v>
      </c>
    </row>
    <row r="243" spans="2:10" x14ac:dyDescent="0.35">
      <c r="B243" s="22">
        <v>599</v>
      </c>
      <c r="C243" s="101" t="s">
        <v>2</v>
      </c>
      <c r="D243" s="101"/>
      <c r="E243" s="101"/>
      <c r="F243" s="101"/>
      <c r="G243" s="101"/>
      <c r="H243" s="23">
        <f>G240</f>
        <v>13120</v>
      </c>
      <c r="I243" s="14"/>
      <c r="J243" s="24"/>
    </row>
    <row r="244" spans="2:10" x14ac:dyDescent="0.35">
      <c r="B244" s="30" t="s">
        <v>129</v>
      </c>
      <c r="C244" s="102" t="s">
        <v>130</v>
      </c>
      <c r="D244" s="102"/>
      <c r="E244" s="102"/>
      <c r="F244" s="102"/>
      <c r="G244" s="102"/>
      <c r="H244" s="17"/>
      <c r="I244" s="16">
        <f>H243</f>
        <v>13120</v>
      </c>
      <c r="J244" s="27"/>
    </row>
    <row r="245" spans="2:10" x14ac:dyDescent="0.35">
      <c r="C245" s="89"/>
      <c r="D245" s="89"/>
      <c r="E245" s="89"/>
      <c r="F245" s="89"/>
      <c r="G245" s="89"/>
    </row>
    <row r="246" spans="2:10" x14ac:dyDescent="0.35">
      <c r="B246" s="19" t="s">
        <v>131</v>
      </c>
      <c r="C246" s="20"/>
      <c r="D246" s="3"/>
      <c r="E246" s="3"/>
      <c r="F246" s="3"/>
      <c r="G246" s="3"/>
      <c r="H246" s="4"/>
    </row>
    <row r="247" spans="2:10" x14ac:dyDescent="0.35">
      <c r="B247" s="56" t="s">
        <v>132</v>
      </c>
      <c r="C247" s="57"/>
      <c r="D247" s="14"/>
      <c r="E247" s="14"/>
      <c r="F247" s="14"/>
      <c r="G247" s="14"/>
      <c r="H247" s="24"/>
    </row>
    <row r="248" spans="2:10" x14ac:dyDescent="0.35">
      <c r="B248" s="115" t="s">
        <v>13</v>
      </c>
      <c r="C248" s="101"/>
      <c r="D248" s="101"/>
      <c r="E248" s="101"/>
      <c r="F248" s="101"/>
      <c r="G248" s="23">
        <f>H191</f>
        <v>195000</v>
      </c>
      <c r="H248" s="24"/>
    </row>
    <row r="249" spans="2:10" x14ac:dyDescent="0.35">
      <c r="B249" s="115" t="s">
        <v>15</v>
      </c>
      <c r="C249" s="101"/>
      <c r="D249" s="101"/>
      <c r="E249" s="101"/>
      <c r="F249" s="101"/>
      <c r="G249" s="16">
        <f>I209</f>
        <v>210000</v>
      </c>
      <c r="H249" s="24"/>
    </row>
    <row r="250" spans="2:10" x14ac:dyDescent="0.35">
      <c r="B250" s="13"/>
      <c r="C250" s="14"/>
      <c r="D250" s="14"/>
      <c r="E250" s="14"/>
      <c r="F250" s="14"/>
      <c r="G250" s="23">
        <f>G248-G249</f>
        <v>-15000</v>
      </c>
      <c r="H250" s="24" t="s">
        <v>47</v>
      </c>
    </row>
    <row r="251" spans="2:10" x14ac:dyDescent="0.35">
      <c r="B251" s="13"/>
      <c r="C251" s="14"/>
      <c r="D251" s="14"/>
      <c r="E251" s="14"/>
      <c r="F251" s="14"/>
      <c r="G251" s="14"/>
      <c r="H251" s="24"/>
    </row>
    <row r="252" spans="2:10" x14ac:dyDescent="0.35">
      <c r="B252" s="56" t="s">
        <v>109</v>
      </c>
      <c r="C252" s="90"/>
      <c r="D252" s="14"/>
      <c r="E252" s="14"/>
      <c r="F252" s="14"/>
      <c r="G252" s="14"/>
      <c r="H252" s="24"/>
    </row>
    <row r="253" spans="2:10" x14ac:dyDescent="0.35">
      <c r="B253" s="115" t="s">
        <v>109</v>
      </c>
      <c r="C253" s="101"/>
      <c r="D253" s="101"/>
      <c r="E253" s="101"/>
      <c r="F253" s="101"/>
      <c r="G253" s="23">
        <f>H198</f>
        <v>330000</v>
      </c>
      <c r="H253" s="24"/>
    </row>
    <row r="254" spans="2:10" x14ac:dyDescent="0.35">
      <c r="B254" s="115" t="s">
        <v>120</v>
      </c>
      <c r="C254" s="101"/>
      <c r="D254" s="101"/>
      <c r="E254" s="101"/>
      <c r="F254" s="101"/>
      <c r="G254" s="16">
        <f>I210</f>
        <v>350000</v>
      </c>
      <c r="H254" s="24"/>
    </row>
    <row r="255" spans="2:10" x14ac:dyDescent="0.35">
      <c r="B255" s="13"/>
      <c r="C255" s="14"/>
      <c r="D255" s="14"/>
      <c r="E255" s="14"/>
      <c r="F255" s="14"/>
      <c r="G255" s="23">
        <f>G253-G254</f>
        <v>-20000</v>
      </c>
      <c r="H255" s="24" t="s">
        <v>47</v>
      </c>
    </row>
    <row r="256" spans="2:10" x14ac:dyDescent="0.35">
      <c r="B256" s="13"/>
      <c r="C256" s="14"/>
      <c r="D256" s="14"/>
      <c r="E256" s="14"/>
      <c r="F256" s="14"/>
      <c r="G256" s="14"/>
      <c r="H256" s="24"/>
    </row>
    <row r="257" spans="2:10" x14ac:dyDescent="0.35">
      <c r="B257" s="56" t="s">
        <v>133</v>
      </c>
      <c r="C257" s="57"/>
      <c r="D257" s="57"/>
      <c r="E257" s="14"/>
      <c r="F257" s="14"/>
      <c r="G257" s="14"/>
      <c r="H257" s="24"/>
    </row>
    <row r="258" spans="2:10" x14ac:dyDescent="0.35">
      <c r="B258" s="115" t="s">
        <v>116</v>
      </c>
      <c r="C258" s="101"/>
      <c r="D258" s="101"/>
      <c r="E258" s="101"/>
      <c r="F258" s="101"/>
      <c r="G258" s="23">
        <f>H203</f>
        <v>100000</v>
      </c>
      <c r="H258" s="24"/>
    </row>
    <row r="259" spans="2:10" x14ac:dyDescent="0.35">
      <c r="B259" s="115" t="s">
        <v>121</v>
      </c>
      <c r="C259" s="101"/>
      <c r="D259" s="101"/>
      <c r="E259" s="101"/>
      <c r="F259" s="101"/>
      <c r="G259" s="16">
        <f>I211</f>
        <v>105000</v>
      </c>
      <c r="H259" s="24"/>
    </row>
    <row r="260" spans="2:10" x14ac:dyDescent="0.35">
      <c r="B260" s="13"/>
      <c r="C260" s="14"/>
      <c r="D260" s="14"/>
      <c r="E260" s="14"/>
      <c r="F260" s="14"/>
      <c r="G260" s="23">
        <f>G258-G259</f>
        <v>-5000</v>
      </c>
      <c r="H260" s="24" t="s">
        <v>47</v>
      </c>
    </row>
    <row r="261" spans="2:10" x14ac:dyDescent="0.35">
      <c r="B261" s="13"/>
      <c r="C261" s="14"/>
      <c r="D261" s="14"/>
      <c r="E261" s="14"/>
      <c r="F261" s="14"/>
      <c r="G261" s="14"/>
      <c r="H261" s="24"/>
    </row>
    <row r="262" spans="2:10" x14ac:dyDescent="0.35">
      <c r="B262" s="56" t="s">
        <v>21</v>
      </c>
      <c r="C262" s="57"/>
      <c r="D262" s="57"/>
      <c r="E262" s="14"/>
      <c r="F262" s="14"/>
      <c r="G262" s="14"/>
      <c r="H262" s="24"/>
    </row>
    <row r="263" spans="2:10" x14ac:dyDescent="0.35">
      <c r="B263" s="115" t="s">
        <v>16</v>
      </c>
      <c r="C263" s="101"/>
      <c r="D263" s="101"/>
      <c r="E263" s="101"/>
      <c r="F263" s="101"/>
      <c r="G263" s="23">
        <f>H192</f>
        <v>302250</v>
      </c>
      <c r="H263" s="24"/>
    </row>
    <row r="264" spans="2:10" x14ac:dyDescent="0.35">
      <c r="B264" s="115" t="s">
        <v>17</v>
      </c>
      <c r="C264" s="101"/>
      <c r="D264" s="101"/>
      <c r="E264" s="101"/>
      <c r="F264" s="101"/>
      <c r="G264" s="16">
        <f>I199</f>
        <v>330000</v>
      </c>
      <c r="H264" s="24"/>
    </row>
    <row r="265" spans="2:10" x14ac:dyDescent="0.35">
      <c r="B265" s="13"/>
      <c r="C265" s="14"/>
      <c r="D265" s="14"/>
      <c r="E265" s="14"/>
      <c r="F265" s="14"/>
      <c r="G265" s="23">
        <f>G264-G263</f>
        <v>27750</v>
      </c>
      <c r="H265" s="24" t="s">
        <v>69</v>
      </c>
    </row>
    <row r="266" spans="2:10" x14ac:dyDescent="0.35">
      <c r="B266" s="13"/>
      <c r="C266" s="14"/>
      <c r="D266" s="14"/>
      <c r="E266" s="14"/>
      <c r="F266" s="14"/>
      <c r="G266" s="14"/>
      <c r="H266" s="24"/>
    </row>
    <row r="267" spans="2:10" x14ac:dyDescent="0.35">
      <c r="B267" s="13"/>
      <c r="C267" s="14"/>
      <c r="D267" s="14"/>
      <c r="E267" s="14"/>
      <c r="F267" s="14"/>
      <c r="G267" s="48"/>
      <c r="H267" s="24"/>
    </row>
    <row r="268" spans="2:10" x14ac:dyDescent="0.35">
      <c r="B268" s="109" t="s">
        <v>134</v>
      </c>
      <c r="C268" s="110"/>
      <c r="D268" s="110"/>
      <c r="E268" s="110"/>
      <c r="F268" s="110"/>
      <c r="G268" s="47">
        <f>G250+G255+G260-G265</f>
        <v>-67750</v>
      </c>
      <c r="H268" s="91" t="s">
        <v>47</v>
      </c>
    </row>
    <row r="270" spans="2:10" x14ac:dyDescent="0.35">
      <c r="B270" s="19" t="s">
        <v>135</v>
      </c>
      <c r="C270" s="84"/>
      <c r="D270" s="84"/>
      <c r="E270" s="85"/>
      <c r="F270" s="3"/>
      <c r="G270" s="3"/>
      <c r="H270" s="3"/>
      <c r="I270" s="3"/>
      <c r="J270" s="4"/>
    </row>
    <row r="271" spans="2:10" x14ac:dyDescent="0.35">
      <c r="B271" s="56"/>
      <c r="C271" s="57" t="s">
        <v>34</v>
      </c>
      <c r="D271" s="57"/>
      <c r="E271" s="57"/>
      <c r="F271" s="57"/>
      <c r="G271" s="57"/>
      <c r="H271" s="57" t="s">
        <v>32</v>
      </c>
      <c r="I271" s="57" t="s">
        <v>33</v>
      </c>
      <c r="J271" s="58" t="s">
        <v>143</v>
      </c>
    </row>
    <row r="272" spans="2:10" x14ac:dyDescent="0.35">
      <c r="B272" s="22">
        <v>910</v>
      </c>
      <c r="C272" s="101" t="s">
        <v>138</v>
      </c>
      <c r="D272" s="101"/>
      <c r="E272" s="101"/>
      <c r="F272" s="101"/>
      <c r="G272" s="101"/>
      <c r="H272" s="23">
        <f>G250</f>
        <v>-15000</v>
      </c>
      <c r="I272" s="14"/>
      <c r="J272" s="24"/>
    </row>
    <row r="273" spans="1:10" x14ac:dyDescent="0.35">
      <c r="B273" s="22">
        <v>911</v>
      </c>
      <c r="C273" s="101" t="s">
        <v>139</v>
      </c>
      <c r="D273" s="101"/>
      <c r="E273" s="101"/>
      <c r="F273" s="101"/>
      <c r="G273" s="101"/>
      <c r="H273" s="23">
        <f>G255</f>
        <v>-20000</v>
      </c>
      <c r="I273" s="14"/>
      <c r="J273" s="24"/>
    </row>
    <row r="274" spans="1:10" x14ac:dyDescent="0.35">
      <c r="B274" s="22">
        <v>912</v>
      </c>
      <c r="C274" s="101" t="s">
        <v>140</v>
      </c>
      <c r="D274" s="101"/>
      <c r="E274" s="101"/>
      <c r="F274" s="101"/>
      <c r="G274" s="101"/>
      <c r="H274" s="23">
        <f>G260</f>
        <v>-5000</v>
      </c>
      <c r="I274" s="14"/>
      <c r="J274" s="24"/>
    </row>
    <row r="275" spans="1:10" x14ac:dyDescent="0.35">
      <c r="B275" s="13" t="s">
        <v>136</v>
      </c>
      <c r="C275" s="101" t="s">
        <v>141</v>
      </c>
      <c r="D275" s="101"/>
      <c r="E275" s="101"/>
      <c r="F275" s="101"/>
      <c r="G275" s="101"/>
      <c r="H275" s="14"/>
      <c r="I275" s="23">
        <f>G265</f>
        <v>27750</v>
      </c>
      <c r="J275" s="24"/>
    </row>
    <row r="276" spans="1:10" x14ac:dyDescent="0.35">
      <c r="B276" s="13" t="s">
        <v>137</v>
      </c>
      <c r="C276" s="101" t="s">
        <v>2</v>
      </c>
      <c r="D276" s="101"/>
      <c r="E276" s="101"/>
      <c r="F276" s="101"/>
      <c r="G276" s="101"/>
      <c r="H276" s="14"/>
      <c r="I276" s="23">
        <f>G268</f>
        <v>-67750</v>
      </c>
      <c r="J276" s="24"/>
    </row>
    <row r="277" spans="1:10" x14ac:dyDescent="0.35">
      <c r="B277" s="13"/>
      <c r="C277" s="14"/>
      <c r="D277" s="14"/>
      <c r="E277" s="14"/>
      <c r="F277" s="14"/>
      <c r="G277" s="14"/>
      <c r="H277" s="14"/>
      <c r="I277" s="14"/>
      <c r="J277" s="24"/>
    </row>
    <row r="278" spans="1:10" x14ac:dyDescent="0.35">
      <c r="B278" s="115" t="s">
        <v>150</v>
      </c>
      <c r="C278" s="101"/>
      <c r="D278" s="101"/>
      <c r="E278" s="101"/>
      <c r="F278" s="23">
        <f>I217</f>
        <v>1344000</v>
      </c>
      <c r="G278" s="14" t="s">
        <v>28</v>
      </c>
      <c r="H278" s="14"/>
      <c r="I278" s="14"/>
      <c r="J278" s="24"/>
    </row>
    <row r="279" spans="1:10" x14ac:dyDescent="0.35">
      <c r="B279" s="115" t="s">
        <v>151</v>
      </c>
      <c r="C279" s="101"/>
      <c r="D279" s="101"/>
      <c r="E279" s="101"/>
      <c r="F279" s="23">
        <f>H221</f>
        <v>665000</v>
      </c>
      <c r="G279" s="14" t="s">
        <v>98</v>
      </c>
      <c r="H279" s="14"/>
      <c r="I279" s="14"/>
      <c r="J279" s="24"/>
    </row>
    <row r="280" spans="1:10" x14ac:dyDescent="0.35">
      <c r="B280" s="115" t="s">
        <v>124</v>
      </c>
      <c r="C280" s="101"/>
      <c r="D280" s="101"/>
      <c r="E280" s="101"/>
      <c r="F280" s="16">
        <f>H226</f>
        <v>40320</v>
      </c>
      <c r="G280" s="14" t="s">
        <v>98</v>
      </c>
      <c r="H280" s="14"/>
      <c r="I280" s="14"/>
      <c r="J280" s="24"/>
    </row>
    <row r="281" spans="1:10" x14ac:dyDescent="0.35">
      <c r="B281" s="118" t="s">
        <v>152</v>
      </c>
      <c r="C281" s="119"/>
      <c r="D281" s="119"/>
      <c r="E281" s="119"/>
      <c r="F281" s="92">
        <f>F278-F279-F280</f>
        <v>638680</v>
      </c>
      <c r="G281" s="14"/>
      <c r="H281" s="14"/>
      <c r="I281" s="14"/>
      <c r="J281" s="24"/>
    </row>
    <row r="282" spans="1:10" x14ac:dyDescent="0.35">
      <c r="B282" s="13"/>
      <c r="C282" s="14"/>
      <c r="D282" s="14"/>
      <c r="E282" s="14"/>
      <c r="F282" s="14"/>
      <c r="G282" s="14"/>
      <c r="H282" s="14"/>
      <c r="I282" s="14"/>
      <c r="J282" s="24"/>
    </row>
    <row r="283" spans="1:10" x14ac:dyDescent="0.35">
      <c r="B283" s="13"/>
      <c r="C283" s="14"/>
      <c r="D283" s="14"/>
      <c r="E283" s="14"/>
      <c r="F283" s="14"/>
      <c r="G283" s="14"/>
      <c r="H283" s="14"/>
      <c r="I283" s="14"/>
      <c r="J283" s="24"/>
    </row>
    <row r="284" spans="1:10" x14ac:dyDescent="0.35">
      <c r="B284" s="56"/>
      <c r="C284" s="57" t="s">
        <v>34</v>
      </c>
      <c r="D284" s="57"/>
      <c r="E284" s="57"/>
      <c r="F284" s="57"/>
      <c r="G284" s="57"/>
      <c r="H284" s="57" t="s">
        <v>32</v>
      </c>
      <c r="I284" s="57" t="s">
        <v>33</v>
      </c>
      <c r="J284" s="58" t="s">
        <v>143</v>
      </c>
    </row>
    <row r="285" spans="1:10" x14ac:dyDescent="0.35">
      <c r="B285" s="22">
        <v>899</v>
      </c>
      <c r="C285" s="101" t="s">
        <v>154</v>
      </c>
      <c r="D285" s="101"/>
      <c r="E285" s="101"/>
      <c r="F285" s="101"/>
      <c r="G285" s="101"/>
      <c r="H285" s="23">
        <f>F281</f>
        <v>638680</v>
      </c>
      <c r="I285" s="14"/>
      <c r="J285" s="24"/>
    </row>
    <row r="286" spans="1:10" x14ac:dyDescent="0.35">
      <c r="B286" s="30" t="s">
        <v>153</v>
      </c>
      <c r="C286" s="102" t="s">
        <v>155</v>
      </c>
      <c r="D286" s="102"/>
      <c r="E286" s="102"/>
      <c r="F286" s="102"/>
      <c r="G286" s="102"/>
      <c r="H286" s="17"/>
      <c r="I286" s="16">
        <f>F281</f>
        <v>638680</v>
      </c>
      <c r="J286" s="27"/>
    </row>
    <row r="287" spans="1:10" ht="15" thickBot="1" x14ac:dyDescent="0.4"/>
    <row r="288" spans="1:10" ht="15.5" thickTop="1" thickBot="1" x14ac:dyDescent="0.4">
      <c r="A288" s="93" t="s">
        <v>25</v>
      </c>
      <c r="B288" s="105" t="s">
        <v>156</v>
      </c>
      <c r="C288" s="106"/>
      <c r="D288" s="106"/>
      <c r="E288" s="106"/>
      <c r="F288" s="106"/>
      <c r="G288" s="106"/>
      <c r="H288" s="20" t="s">
        <v>47</v>
      </c>
      <c r="I288" s="21" t="s">
        <v>69</v>
      </c>
    </row>
    <row r="289" spans="1:10" ht="15" thickTop="1" x14ac:dyDescent="0.35">
      <c r="B289" s="115" t="str">
        <f>C286</f>
        <v>Dekkingsbijdrage</v>
      </c>
      <c r="C289" s="101"/>
      <c r="D289" s="101"/>
      <c r="E289" s="101"/>
      <c r="F289" s="101"/>
      <c r="G289" s="101"/>
      <c r="H289" s="14"/>
      <c r="I289" s="39">
        <f>I286</f>
        <v>638680</v>
      </c>
    </row>
    <row r="290" spans="1:10" x14ac:dyDescent="0.35">
      <c r="B290" s="115" t="s">
        <v>131</v>
      </c>
      <c r="C290" s="101"/>
      <c r="D290" s="101"/>
      <c r="E290" s="101"/>
      <c r="F290" s="101"/>
      <c r="G290" s="101"/>
      <c r="H290" s="23">
        <f>H272+H273+H274</f>
        <v>-40000</v>
      </c>
      <c r="I290" s="24"/>
    </row>
    <row r="291" spans="1:10" x14ac:dyDescent="0.35">
      <c r="B291" s="115" t="s">
        <v>157</v>
      </c>
      <c r="C291" s="101"/>
      <c r="D291" s="101"/>
      <c r="E291" s="101"/>
      <c r="F291" s="101"/>
      <c r="G291" s="101"/>
      <c r="H291" s="14"/>
      <c r="I291" s="39">
        <f>I275</f>
        <v>27750</v>
      </c>
    </row>
    <row r="292" spans="1:10" x14ac:dyDescent="0.35">
      <c r="B292" s="115" t="s">
        <v>130</v>
      </c>
      <c r="C292" s="101"/>
      <c r="D292" s="101"/>
      <c r="E292" s="101"/>
      <c r="F292" s="101"/>
      <c r="G292" s="101"/>
      <c r="H292" s="14"/>
      <c r="I292" s="39">
        <f>G240</f>
        <v>13120</v>
      </c>
    </row>
    <row r="293" spans="1:10" x14ac:dyDescent="0.35">
      <c r="B293" s="115" t="s">
        <v>113</v>
      </c>
      <c r="C293" s="101"/>
      <c r="D293" s="101"/>
      <c r="E293" s="101"/>
      <c r="F293" s="101"/>
      <c r="G293" s="101"/>
      <c r="H293" s="16">
        <f>H193</f>
        <v>340520</v>
      </c>
      <c r="I293" s="27"/>
    </row>
    <row r="294" spans="1:10" x14ac:dyDescent="0.35">
      <c r="B294" s="13"/>
      <c r="C294" s="14"/>
      <c r="D294" s="14"/>
      <c r="E294" s="14"/>
      <c r="F294" s="14"/>
      <c r="G294" s="14"/>
      <c r="H294" s="9">
        <f>SUM(H289:H293)</f>
        <v>300520</v>
      </c>
      <c r="I294" s="39">
        <f>SUM(I289:I293)</f>
        <v>679550</v>
      </c>
    </row>
    <row r="295" spans="1:10" x14ac:dyDescent="0.35">
      <c r="B295" s="13"/>
      <c r="C295" s="14"/>
      <c r="D295" s="14"/>
      <c r="E295" s="14"/>
      <c r="F295" s="14"/>
      <c r="G295" s="14"/>
      <c r="H295" s="14"/>
      <c r="I295" s="39"/>
    </row>
    <row r="296" spans="1:10" x14ac:dyDescent="0.35">
      <c r="B296" s="116" t="s">
        <v>158</v>
      </c>
      <c r="C296" s="117"/>
      <c r="D296" s="117"/>
      <c r="E296" s="117"/>
      <c r="F296" s="117"/>
      <c r="G296" s="117"/>
      <c r="H296" s="17"/>
      <c r="I296" s="94">
        <f>I294-H294</f>
        <v>379030</v>
      </c>
    </row>
    <row r="299" spans="1:10" x14ac:dyDescent="0.35">
      <c r="A299" s="1">
        <v>6</v>
      </c>
    </row>
    <row r="300" spans="1:10" x14ac:dyDescent="0.35">
      <c r="A300" s="1" t="s">
        <v>142</v>
      </c>
      <c r="B300" s="19"/>
      <c r="C300" s="20" t="s">
        <v>34</v>
      </c>
      <c r="D300" s="20"/>
      <c r="E300" s="20"/>
      <c r="F300" s="20"/>
      <c r="G300" s="20"/>
      <c r="H300" s="20" t="s">
        <v>32</v>
      </c>
      <c r="I300" s="20" t="s">
        <v>33</v>
      </c>
      <c r="J300" s="21" t="s">
        <v>143</v>
      </c>
    </row>
    <row r="301" spans="1:10" x14ac:dyDescent="0.35">
      <c r="B301" s="22">
        <v>600</v>
      </c>
      <c r="C301" s="101" t="s">
        <v>166</v>
      </c>
      <c r="D301" s="101"/>
      <c r="E301" s="101"/>
      <c r="F301" s="101"/>
      <c r="G301" s="101"/>
      <c r="H301" s="14">
        <v>77000</v>
      </c>
      <c r="I301" s="14"/>
      <c r="J301" s="24"/>
    </row>
    <row r="302" spans="1:10" x14ac:dyDescent="0.35">
      <c r="B302" s="22" t="s">
        <v>71</v>
      </c>
      <c r="C302" s="101" t="s">
        <v>2</v>
      </c>
      <c r="D302" s="101"/>
      <c r="E302" s="101"/>
      <c r="F302" s="101"/>
      <c r="G302" s="101"/>
      <c r="H302" s="14"/>
      <c r="I302" s="14">
        <v>77000</v>
      </c>
      <c r="J302" s="24"/>
    </row>
    <row r="303" spans="1:10" x14ac:dyDescent="0.35">
      <c r="B303" s="22"/>
      <c r="C303" s="14"/>
      <c r="D303" s="14"/>
      <c r="E303" s="14"/>
      <c r="F303" s="14"/>
      <c r="G303" s="14"/>
      <c r="H303" s="14"/>
      <c r="I303" s="14"/>
      <c r="J303" s="24"/>
    </row>
    <row r="304" spans="1:10" x14ac:dyDescent="0.35">
      <c r="B304" s="22"/>
      <c r="C304" s="14"/>
      <c r="D304" s="14"/>
      <c r="E304" s="14"/>
      <c r="F304" s="14"/>
      <c r="G304" s="14"/>
      <c r="H304" s="14"/>
      <c r="I304" s="14"/>
      <c r="J304" s="24"/>
    </row>
    <row r="305" spans="2:10" x14ac:dyDescent="0.35">
      <c r="B305" s="95"/>
      <c r="C305" s="57" t="s">
        <v>34</v>
      </c>
      <c r="D305" s="57"/>
      <c r="E305" s="57"/>
      <c r="F305" s="57"/>
      <c r="G305" s="57"/>
      <c r="H305" s="57" t="s">
        <v>32</v>
      </c>
      <c r="I305" s="57" t="s">
        <v>33</v>
      </c>
      <c r="J305" s="58" t="s">
        <v>143</v>
      </c>
    </row>
    <row r="306" spans="2:10" x14ac:dyDescent="0.35">
      <c r="B306" s="22">
        <v>540</v>
      </c>
      <c r="C306" s="101" t="s">
        <v>167</v>
      </c>
      <c r="D306" s="101"/>
      <c r="E306" s="101"/>
      <c r="F306" s="101"/>
      <c r="G306" s="101"/>
      <c r="H306" s="9">
        <f>60000+110000</f>
        <v>170000</v>
      </c>
      <c r="I306" s="9"/>
      <c r="J306" s="24" t="s">
        <v>212</v>
      </c>
    </row>
    <row r="307" spans="2:10" x14ac:dyDescent="0.35">
      <c r="B307" s="22">
        <v>550</v>
      </c>
      <c r="C307" s="101" t="s">
        <v>168</v>
      </c>
      <c r="D307" s="101"/>
      <c r="E307" s="101"/>
      <c r="F307" s="101"/>
      <c r="G307" s="101"/>
      <c r="H307" s="9">
        <f>30000+52000</f>
        <v>82000</v>
      </c>
      <c r="I307" s="9"/>
      <c r="J307" s="24" t="s">
        <v>213</v>
      </c>
    </row>
    <row r="308" spans="2:10" x14ac:dyDescent="0.35">
      <c r="B308" s="22" t="s">
        <v>71</v>
      </c>
      <c r="C308" s="101" t="s">
        <v>154</v>
      </c>
      <c r="D308" s="101"/>
      <c r="E308" s="101"/>
      <c r="F308" s="101"/>
      <c r="G308" s="101"/>
      <c r="H308" s="9"/>
      <c r="I308" s="9">
        <f>H306+H307</f>
        <v>252000</v>
      </c>
      <c r="J308" s="24"/>
    </row>
    <row r="309" spans="2:10" x14ac:dyDescent="0.35">
      <c r="B309" s="22"/>
      <c r="C309" s="14"/>
      <c r="D309" s="14"/>
      <c r="E309" s="14"/>
      <c r="F309" s="14"/>
      <c r="G309" s="14"/>
      <c r="H309" s="14"/>
      <c r="I309" s="14"/>
      <c r="J309" s="24"/>
    </row>
    <row r="310" spans="2:10" x14ac:dyDescent="0.35">
      <c r="B310" s="22"/>
      <c r="C310" s="14"/>
      <c r="D310" s="14"/>
      <c r="E310" s="14"/>
      <c r="F310" s="14"/>
      <c r="G310" s="14"/>
      <c r="H310" s="14"/>
      <c r="I310" s="14"/>
      <c r="J310" s="24"/>
    </row>
    <row r="311" spans="2:10" x14ac:dyDescent="0.35">
      <c r="B311" s="95"/>
      <c r="C311" s="57" t="s">
        <v>34</v>
      </c>
      <c r="D311" s="57"/>
      <c r="E311" s="57"/>
      <c r="F311" s="57"/>
      <c r="G311" s="57"/>
      <c r="H311" s="57" t="s">
        <v>32</v>
      </c>
      <c r="I311" s="57" t="s">
        <v>33</v>
      </c>
      <c r="J311" s="58" t="s">
        <v>143</v>
      </c>
    </row>
    <row r="312" spans="2:10" x14ac:dyDescent="0.35">
      <c r="B312" s="22">
        <v>610</v>
      </c>
      <c r="C312" s="101" t="s">
        <v>169</v>
      </c>
      <c r="D312" s="101"/>
      <c r="E312" s="101"/>
      <c r="F312" s="101"/>
      <c r="G312" s="101"/>
      <c r="H312" s="9">
        <f>5020*15</f>
        <v>75300</v>
      </c>
      <c r="I312" s="9"/>
      <c r="J312" s="24" t="s">
        <v>214</v>
      </c>
    </row>
    <row r="313" spans="2:10" x14ac:dyDescent="0.35">
      <c r="B313" s="22" t="s">
        <v>162</v>
      </c>
      <c r="C313" s="101" t="s">
        <v>170</v>
      </c>
      <c r="D313" s="101"/>
      <c r="E313" s="101"/>
      <c r="F313" s="101"/>
      <c r="G313" s="101"/>
      <c r="H313" s="9"/>
      <c r="I313" s="9">
        <f>H312</f>
        <v>75300</v>
      </c>
      <c r="J313" s="24"/>
    </row>
    <row r="314" spans="2:10" x14ac:dyDescent="0.35">
      <c r="B314" s="22"/>
      <c r="C314" s="14"/>
      <c r="D314" s="14"/>
      <c r="E314" s="14"/>
      <c r="F314" s="14"/>
      <c r="G314" s="14"/>
      <c r="H314" s="14"/>
      <c r="I314" s="14"/>
      <c r="J314" s="24"/>
    </row>
    <row r="315" spans="2:10" x14ac:dyDescent="0.35">
      <c r="B315" s="22"/>
      <c r="C315" s="14"/>
      <c r="D315" s="14"/>
      <c r="E315" s="14"/>
      <c r="F315" s="14"/>
      <c r="G315" s="14"/>
      <c r="H315" s="14"/>
      <c r="I315" s="14"/>
      <c r="J315" s="24"/>
    </row>
    <row r="316" spans="2:10" x14ac:dyDescent="0.35">
      <c r="B316" s="95"/>
      <c r="C316" s="57" t="s">
        <v>34</v>
      </c>
      <c r="D316" s="57"/>
      <c r="E316" s="57"/>
      <c r="F316" s="57"/>
      <c r="G316" s="57"/>
      <c r="H316" s="57" t="s">
        <v>32</v>
      </c>
      <c r="I316" s="57" t="s">
        <v>33</v>
      </c>
      <c r="J316" s="58" t="s">
        <v>143</v>
      </c>
    </row>
    <row r="317" spans="2:10" x14ac:dyDescent="0.35">
      <c r="B317" s="22">
        <v>700</v>
      </c>
      <c r="C317" s="101" t="s">
        <v>18</v>
      </c>
      <c r="D317" s="101"/>
      <c r="E317" s="101"/>
      <c r="F317" s="101"/>
      <c r="G317" s="101"/>
      <c r="H317" s="9">
        <f>2950*70</f>
        <v>206500</v>
      </c>
      <c r="I317" s="9"/>
      <c r="J317" s="24" t="s">
        <v>215</v>
      </c>
    </row>
    <row r="318" spans="2:10" x14ac:dyDescent="0.35">
      <c r="B318" s="22" t="s">
        <v>163</v>
      </c>
      <c r="C318" s="101" t="s">
        <v>161</v>
      </c>
      <c r="D318" s="101"/>
      <c r="E318" s="101"/>
      <c r="F318" s="101"/>
      <c r="G318" s="101"/>
      <c r="H318" s="9"/>
      <c r="I318" s="9">
        <f>2950*40</f>
        <v>118000</v>
      </c>
      <c r="J318" s="24" t="s">
        <v>216</v>
      </c>
    </row>
    <row r="319" spans="2:10" x14ac:dyDescent="0.35">
      <c r="B319" s="22" t="s">
        <v>164</v>
      </c>
      <c r="C319" s="101" t="s">
        <v>171</v>
      </c>
      <c r="D319" s="101"/>
      <c r="E319" s="101"/>
      <c r="F319" s="101"/>
      <c r="G319" s="101"/>
      <c r="H319" s="9"/>
      <c r="I319" s="9">
        <f>2950*30</f>
        <v>88500</v>
      </c>
      <c r="J319" s="24" t="s">
        <v>217</v>
      </c>
    </row>
    <row r="320" spans="2:10" x14ac:dyDescent="0.35">
      <c r="B320" s="22"/>
      <c r="C320" s="14"/>
      <c r="D320" s="14"/>
      <c r="E320" s="14"/>
      <c r="F320" s="14"/>
      <c r="G320" s="14"/>
      <c r="H320" s="14"/>
      <c r="I320" s="14"/>
      <c r="J320" s="24"/>
    </row>
    <row r="321" spans="2:10" x14ac:dyDescent="0.35">
      <c r="B321" s="22"/>
      <c r="C321" s="14"/>
      <c r="D321" s="14"/>
      <c r="E321" s="14"/>
      <c r="F321" s="14"/>
      <c r="G321" s="14"/>
      <c r="H321" s="14"/>
      <c r="I321" s="14"/>
      <c r="J321" s="24"/>
    </row>
    <row r="322" spans="2:10" x14ac:dyDescent="0.35">
      <c r="B322" s="95"/>
      <c r="C322" s="57" t="s">
        <v>34</v>
      </c>
      <c r="D322" s="57"/>
      <c r="E322" s="57"/>
      <c r="F322" s="57"/>
      <c r="G322" s="57"/>
      <c r="H322" s="57" t="s">
        <v>32</v>
      </c>
      <c r="I322" s="57" t="s">
        <v>33</v>
      </c>
      <c r="J322" s="58" t="s">
        <v>143</v>
      </c>
    </row>
    <row r="323" spans="2:10" x14ac:dyDescent="0.35">
      <c r="B323" s="22">
        <v>800</v>
      </c>
      <c r="C323" s="114" t="s">
        <v>19</v>
      </c>
      <c r="D323" s="114"/>
      <c r="E323" s="114"/>
      <c r="F323" s="114"/>
      <c r="G323" s="114"/>
      <c r="H323" s="9">
        <f>2900*70</f>
        <v>203000</v>
      </c>
      <c r="I323" s="9"/>
      <c r="J323" s="24" t="s">
        <v>218</v>
      </c>
    </row>
    <row r="324" spans="2:10" x14ac:dyDescent="0.35">
      <c r="B324" s="22" t="s">
        <v>107</v>
      </c>
      <c r="C324" s="101" t="s">
        <v>172</v>
      </c>
      <c r="D324" s="101"/>
      <c r="E324" s="101"/>
      <c r="F324" s="101"/>
      <c r="G324" s="101"/>
      <c r="H324" s="9"/>
      <c r="I324" s="9">
        <f>H323</f>
        <v>203000</v>
      </c>
      <c r="J324" s="24"/>
    </row>
    <row r="325" spans="2:10" x14ac:dyDescent="0.35">
      <c r="B325" s="112" t="s">
        <v>28</v>
      </c>
      <c r="C325" s="113"/>
      <c r="D325" s="113"/>
      <c r="E325" s="113"/>
      <c r="F325" s="113"/>
      <c r="G325" s="113"/>
      <c r="H325" s="9"/>
      <c r="I325" s="9"/>
      <c r="J325" s="24"/>
    </row>
    <row r="326" spans="2:10" x14ac:dyDescent="0.35">
      <c r="B326" s="22">
        <v>810</v>
      </c>
      <c r="C326" s="101" t="s">
        <v>124</v>
      </c>
      <c r="D326" s="101"/>
      <c r="E326" s="101"/>
      <c r="F326" s="101"/>
      <c r="G326" s="101"/>
      <c r="H326" s="9">
        <f>2900*10</f>
        <v>29000</v>
      </c>
      <c r="I326" s="9"/>
      <c r="J326" s="24" t="s">
        <v>219</v>
      </c>
    </row>
    <row r="327" spans="2:10" x14ac:dyDescent="0.35">
      <c r="B327" s="22" t="s">
        <v>160</v>
      </c>
      <c r="C327" s="101" t="s">
        <v>173</v>
      </c>
      <c r="D327" s="101"/>
      <c r="E327" s="101"/>
      <c r="F327" s="101"/>
      <c r="G327" s="101"/>
      <c r="H327" s="9"/>
      <c r="I327" s="9">
        <f>H326</f>
        <v>29000</v>
      </c>
      <c r="J327" s="24"/>
    </row>
    <row r="328" spans="2:10" x14ac:dyDescent="0.35">
      <c r="B328" s="112" t="s">
        <v>28</v>
      </c>
      <c r="C328" s="113"/>
      <c r="D328" s="113"/>
      <c r="E328" s="113"/>
      <c r="F328" s="113"/>
      <c r="G328" s="113"/>
      <c r="H328" s="14"/>
      <c r="I328" s="14"/>
      <c r="J328" s="24"/>
    </row>
    <row r="329" spans="2:10" x14ac:dyDescent="0.35">
      <c r="B329" s="22">
        <v>120</v>
      </c>
      <c r="C329" s="101" t="s">
        <v>0</v>
      </c>
      <c r="D329" s="101"/>
      <c r="E329" s="101"/>
      <c r="F329" s="101"/>
      <c r="G329" s="101"/>
      <c r="H329" s="9">
        <f>I330+I331</f>
        <v>701800</v>
      </c>
      <c r="I329" s="9"/>
      <c r="J329" s="24"/>
    </row>
    <row r="330" spans="2:10" x14ac:dyDescent="0.35">
      <c r="B330" s="22" t="s">
        <v>106</v>
      </c>
      <c r="C330" s="101" t="s">
        <v>1</v>
      </c>
      <c r="D330" s="101"/>
      <c r="E330" s="101"/>
      <c r="F330" s="101"/>
      <c r="G330" s="101"/>
      <c r="H330" s="9"/>
      <c r="I330" s="9">
        <f>0.21*I331</f>
        <v>121800</v>
      </c>
      <c r="J330" s="24" t="s">
        <v>221</v>
      </c>
    </row>
    <row r="331" spans="2:10" x14ac:dyDescent="0.35">
      <c r="B331" s="22" t="s">
        <v>165</v>
      </c>
      <c r="C331" s="101" t="s">
        <v>126</v>
      </c>
      <c r="D331" s="101"/>
      <c r="E331" s="101"/>
      <c r="F331" s="101"/>
      <c r="G331" s="101"/>
      <c r="H331" s="9"/>
      <c r="I331" s="9">
        <f>2900*200</f>
        <v>580000</v>
      </c>
      <c r="J331" s="24" t="s">
        <v>220</v>
      </c>
    </row>
    <row r="332" spans="2:10" x14ac:dyDescent="0.35">
      <c r="B332" s="13"/>
      <c r="C332" s="14"/>
      <c r="D332" s="14"/>
      <c r="E332" s="14"/>
      <c r="F332" s="14"/>
      <c r="G332" s="14"/>
      <c r="H332" s="14"/>
      <c r="I332" s="14"/>
      <c r="J332" s="24"/>
    </row>
    <row r="333" spans="2:10" x14ac:dyDescent="0.35">
      <c r="B333" s="13"/>
      <c r="C333" s="14"/>
      <c r="D333" s="14"/>
      <c r="E333" s="14"/>
      <c r="F333" s="14"/>
      <c r="G333" s="14"/>
      <c r="H333" s="14"/>
      <c r="I333" s="14"/>
      <c r="J333" s="24"/>
    </row>
    <row r="334" spans="2:10" x14ac:dyDescent="0.35">
      <c r="B334" s="95"/>
      <c r="C334" s="57" t="s">
        <v>34</v>
      </c>
      <c r="D334" s="57"/>
      <c r="E334" s="57"/>
      <c r="F334" s="57"/>
      <c r="G334" s="57"/>
      <c r="H334" s="57" t="s">
        <v>32</v>
      </c>
      <c r="I334" s="57" t="s">
        <v>33</v>
      </c>
      <c r="J334" s="58" t="s">
        <v>143</v>
      </c>
    </row>
    <row r="335" spans="2:10" x14ac:dyDescent="0.35">
      <c r="B335" s="22">
        <v>950</v>
      </c>
      <c r="C335" s="101" t="s">
        <v>174</v>
      </c>
      <c r="D335" s="101"/>
      <c r="E335" s="101"/>
      <c r="F335" s="101"/>
      <c r="G335" s="101"/>
      <c r="H335" s="9">
        <f>I336</f>
        <v>183333.33333333334</v>
      </c>
      <c r="I335" s="9"/>
      <c r="J335" s="96" t="s">
        <v>222</v>
      </c>
    </row>
    <row r="336" spans="2:10" x14ac:dyDescent="0.35">
      <c r="B336" s="22" t="s">
        <v>162</v>
      </c>
      <c r="C336" s="101" t="s">
        <v>175</v>
      </c>
      <c r="D336" s="101"/>
      <c r="E336" s="101"/>
      <c r="F336" s="101"/>
      <c r="G336" s="101"/>
      <c r="H336" s="9"/>
      <c r="I336" s="9">
        <f>2200000/12</f>
        <v>183333.33333333334</v>
      </c>
      <c r="J336" s="24"/>
    </row>
    <row r="337" spans="1:10" x14ac:dyDescent="0.35">
      <c r="B337" s="112" t="s">
        <v>28</v>
      </c>
      <c r="C337" s="113"/>
      <c r="D337" s="113"/>
      <c r="E337" s="113"/>
      <c r="F337" s="113"/>
      <c r="G337" s="113"/>
      <c r="H337" s="9"/>
      <c r="I337" s="9"/>
      <c r="J337" s="24"/>
    </row>
    <row r="338" spans="1:10" x14ac:dyDescent="0.35">
      <c r="B338" s="22">
        <v>950</v>
      </c>
      <c r="C338" s="101" t="s">
        <v>174</v>
      </c>
      <c r="D338" s="101"/>
      <c r="E338" s="101"/>
      <c r="F338" s="101"/>
      <c r="G338" s="101"/>
      <c r="H338" s="9">
        <f>5800000/12</f>
        <v>483333.33333333331</v>
      </c>
      <c r="I338" s="9"/>
      <c r="J338" s="24" t="s">
        <v>223</v>
      </c>
    </row>
    <row r="339" spans="1:10" x14ac:dyDescent="0.35">
      <c r="B339" s="25" t="s">
        <v>160</v>
      </c>
      <c r="C339" s="102" t="s">
        <v>176</v>
      </c>
      <c r="D339" s="102"/>
      <c r="E339" s="102"/>
      <c r="F339" s="102"/>
      <c r="G339" s="102"/>
      <c r="H339" s="26"/>
      <c r="I339" s="26">
        <f>H338</f>
        <v>483333.33333333331</v>
      </c>
      <c r="J339" s="27"/>
    </row>
    <row r="341" spans="1:10" x14ac:dyDescent="0.35">
      <c r="A341" s="1" t="s">
        <v>144</v>
      </c>
      <c r="B341" s="105" t="s">
        <v>178</v>
      </c>
      <c r="C341" s="106"/>
      <c r="D341" s="3"/>
      <c r="E341" s="3"/>
      <c r="F341" s="3"/>
      <c r="G341" s="3"/>
      <c r="H341" s="3"/>
      <c r="I341" s="3"/>
      <c r="J341" s="4"/>
    </row>
    <row r="342" spans="1:10" x14ac:dyDescent="0.35">
      <c r="B342" s="13">
        <v>540</v>
      </c>
      <c r="C342" s="101" t="str">
        <f>C306</f>
        <v>Kosten fabricageafdeling</v>
      </c>
      <c r="D342" s="101"/>
      <c r="E342" s="101"/>
      <c r="F342" s="14"/>
      <c r="G342" s="23">
        <f>H306</f>
        <v>170000</v>
      </c>
      <c r="H342" s="14"/>
      <c r="I342" s="14"/>
      <c r="J342" s="24"/>
    </row>
    <row r="343" spans="1:10" x14ac:dyDescent="0.35">
      <c r="B343" s="13">
        <v>545</v>
      </c>
      <c r="C343" s="101" t="str">
        <f>C313</f>
        <v>Gebudgetteerde kosten</v>
      </c>
      <c r="D343" s="101"/>
      <c r="E343" s="101"/>
      <c r="F343" s="14"/>
      <c r="G343" s="16">
        <f>I313+I336</f>
        <v>258633.33333333334</v>
      </c>
      <c r="H343" s="14"/>
      <c r="I343" s="14"/>
      <c r="J343" s="24"/>
    </row>
    <row r="344" spans="1:10" x14ac:dyDescent="0.35">
      <c r="B344" s="107" t="s">
        <v>97</v>
      </c>
      <c r="C344" s="108"/>
      <c r="D344" s="108"/>
      <c r="E344" s="108"/>
      <c r="F344" s="38"/>
      <c r="G344" s="92">
        <f>G343-G342</f>
        <v>88633.333333333343</v>
      </c>
      <c r="H344" s="38" t="s">
        <v>69</v>
      </c>
      <c r="I344" s="14"/>
      <c r="J344" s="24"/>
    </row>
    <row r="345" spans="1:10" x14ac:dyDescent="0.35">
      <c r="B345" s="13"/>
      <c r="C345" s="14"/>
      <c r="D345" s="14"/>
      <c r="E345" s="14"/>
      <c r="F345" s="14"/>
      <c r="G345" s="14"/>
      <c r="H345" s="14"/>
      <c r="I345" s="14"/>
      <c r="J345" s="24"/>
    </row>
    <row r="346" spans="1:10" x14ac:dyDescent="0.35">
      <c r="B346" s="13">
        <v>550</v>
      </c>
      <c r="C346" s="14" t="str">
        <f>C307</f>
        <v>Kosten verkoopafdeling</v>
      </c>
      <c r="D346" s="14"/>
      <c r="E346" s="14"/>
      <c r="F346" s="14"/>
      <c r="G346" s="23">
        <f>H307</f>
        <v>82000</v>
      </c>
      <c r="H346" s="14"/>
      <c r="I346" s="14"/>
      <c r="J346" s="24"/>
    </row>
    <row r="347" spans="1:10" x14ac:dyDescent="0.35">
      <c r="B347" s="13">
        <v>555</v>
      </c>
      <c r="C347" s="14" t="str">
        <f>C327</f>
        <v>Gebudgetteerde kosten verkoopafdeling</v>
      </c>
      <c r="D347" s="14"/>
      <c r="E347" s="14"/>
      <c r="F347" s="14"/>
      <c r="G347" s="16">
        <f>I327+I339</f>
        <v>512333.33333333331</v>
      </c>
      <c r="H347" s="14"/>
      <c r="I347" s="14"/>
      <c r="J347" s="24"/>
    </row>
    <row r="348" spans="1:10" x14ac:dyDescent="0.35">
      <c r="B348" s="107" t="s">
        <v>97</v>
      </c>
      <c r="C348" s="108"/>
      <c r="D348" s="108"/>
      <c r="E348" s="108"/>
      <c r="F348" s="14"/>
      <c r="G348" s="92">
        <f>G347-G346</f>
        <v>430333.33333333331</v>
      </c>
      <c r="H348" s="38" t="s">
        <v>47</v>
      </c>
      <c r="I348" s="14"/>
      <c r="J348" s="24"/>
    </row>
    <row r="349" spans="1:10" x14ac:dyDescent="0.35">
      <c r="B349" s="13"/>
      <c r="C349" s="14"/>
      <c r="D349" s="14"/>
      <c r="E349" s="14"/>
      <c r="F349" s="14"/>
      <c r="G349" s="17"/>
      <c r="H349" s="14"/>
      <c r="I349" s="14"/>
      <c r="J349" s="24"/>
    </row>
    <row r="350" spans="1:10" x14ac:dyDescent="0.35">
      <c r="B350" s="107" t="s">
        <v>159</v>
      </c>
      <c r="C350" s="108"/>
      <c r="D350" s="108"/>
      <c r="E350" s="108"/>
      <c r="F350" s="14"/>
      <c r="G350" s="92">
        <f>G348-G344</f>
        <v>341700</v>
      </c>
      <c r="H350" s="38" t="s">
        <v>47</v>
      </c>
      <c r="I350" s="14"/>
      <c r="J350" s="24"/>
    </row>
    <row r="351" spans="1:10" x14ac:dyDescent="0.35">
      <c r="B351" s="13"/>
      <c r="C351" s="14"/>
      <c r="D351" s="14"/>
      <c r="E351" s="14"/>
      <c r="F351" s="14"/>
      <c r="G351" s="14"/>
      <c r="H351" s="14"/>
      <c r="I351" s="14"/>
      <c r="J351" s="24"/>
    </row>
    <row r="352" spans="1:10" x14ac:dyDescent="0.35">
      <c r="B352" s="99" t="s">
        <v>177</v>
      </c>
      <c r="C352" s="100"/>
      <c r="D352" s="14"/>
      <c r="E352" s="14"/>
      <c r="F352" s="14"/>
      <c r="G352" s="14"/>
      <c r="H352" s="14"/>
      <c r="I352" s="14"/>
      <c r="J352" s="24"/>
    </row>
    <row r="353" spans="1:10" x14ac:dyDescent="0.35">
      <c r="B353" s="13">
        <v>800</v>
      </c>
      <c r="C353" s="111" t="str">
        <f>C323</f>
        <v>Kostprijs verkopen</v>
      </c>
      <c r="D353" s="111"/>
      <c r="E353" s="111"/>
      <c r="F353" s="111"/>
      <c r="G353" s="23">
        <f>H323</f>
        <v>203000</v>
      </c>
      <c r="H353" s="14"/>
      <c r="I353" s="14"/>
      <c r="J353" s="24"/>
    </row>
    <row r="354" spans="1:10" x14ac:dyDescent="0.35">
      <c r="B354" s="13">
        <v>810</v>
      </c>
      <c r="C354" s="101" t="str">
        <f>C326</f>
        <v>Toeslag variabele verkoopkosten</v>
      </c>
      <c r="D354" s="101"/>
      <c r="E354" s="101"/>
      <c r="F354" s="101"/>
      <c r="G354" s="23">
        <f>H326</f>
        <v>29000</v>
      </c>
      <c r="H354" s="14"/>
      <c r="I354" s="14"/>
      <c r="J354" s="24"/>
    </row>
    <row r="355" spans="1:10" x14ac:dyDescent="0.35">
      <c r="B355" s="13">
        <v>850</v>
      </c>
      <c r="C355" s="101" t="str">
        <f>C331</f>
        <v>Opbrengst verkopen</v>
      </c>
      <c r="D355" s="101"/>
      <c r="E355" s="101"/>
      <c r="F355" s="101"/>
      <c r="G355" s="16">
        <f>I331</f>
        <v>580000</v>
      </c>
      <c r="H355" s="14"/>
      <c r="I355" s="14"/>
      <c r="J355" s="24"/>
    </row>
    <row r="356" spans="1:10" x14ac:dyDescent="0.35">
      <c r="B356" s="109" t="s">
        <v>155</v>
      </c>
      <c r="C356" s="110"/>
      <c r="D356" s="110"/>
      <c r="E356" s="110"/>
      <c r="F356" s="110"/>
      <c r="G356" s="47">
        <f>G355-G353-G354</f>
        <v>348000</v>
      </c>
      <c r="H356" s="17"/>
      <c r="I356" s="17"/>
      <c r="J356" s="27"/>
    </row>
    <row r="358" spans="1:10" x14ac:dyDescent="0.35">
      <c r="A358" s="1" t="s">
        <v>25</v>
      </c>
      <c r="B358" s="97"/>
      <c r="C358" s="20" t="s">
        <v>34</v>
      </c>
      <c r="D358" s="20"/>
      <c r="E358" s="20"/>
      <c r="F358" s="20"/>
      <c r="G358" s="20"/>
      <c r="H358" s="20" t="s">
        <v>32</v>
      </c>
      <c r="I358" s="20" t="s">
        <v>33</v>
      </c>
      <c r="J358" s="21" t="s">
        <v>143</v>
      </c>
    </row>
    <row r="359" spans="1:10" x14ac:dyDescent="0.35">
      <c r="B359" s="22">
        <v>930</v>
      </c>
      <c r="C359" s="101" t="s">
        <v>68</v>
      </c>
      <c r="D359" s="101"/>
      <c r="E359" s="101"/>
      <c r="F359" s="101"/>
      <c r="G359" s="101"/>
      <c r="H359" s="23">
        <f>G350</f>
        <v>341700</v>
      </c>
      <c r="I359" s="14"/>
      <c r="J359" s="24"/>
    </row>
    <row r="360" spans="1:10" x14ac:dyDescent="0.35">
      <c r="B360" s="22" t="s">
        <v>66</v>
      </c>
      <c r="C360" s="101" t="s">
        <v>2</v>
      </c>
      <c r="D360" s="101"/>
      <c r="E360" s="101"/>
      <c r="F360" s="101"/>
      <c r="G360" s="101"/>
      <c r="H360" s="14"/>
      <c r="I360" s="23">
        <f>G350</f>
        <v>341700</v>
      </c>
      <c r="J360" s="24"/>
    </row>
    <row r="361" spans="1:10" x14ac:dyDescent="0.35">
      <c r="B361" s="22"/>
      <c r="C361" s="14"/>
      <c r="D361" s="14"/>
      <c r="E361" s="14"/>
      <c r="F361" s="14"/>
      <c r="G361" s="14"/>
      <c r="H361" s="14"/>
      <c r="I361" s="14"/>
      <c r="J361" s="24"/>
    </row>
    <row r="362" spans="1:10" x14ac:dyDescent="0.35">
      <c r="B362" s="95"/>
      <c r="C362" s="57" t="s">
        <v>34</v>
      </c>
      <c r="D362" s="57"/>
      <c r="E362" s="57"/>
      <c r="F362" s="57"/>
      <c r="G362" s="57"/>
      <c r="H362" s="57" t="s">
        <v>32</v>
      </c>
      <c r="I362" s="57" t="s">
        <v>33</v>
      </c>
      <c r="J362" s="58" t="s">
        <v>143</v>
      </c>
    </row>
    <row r="363" spans="1:10" x14ac:dyDescent="0.35">
      <c r="B363" s="22">
        <v>899</v>
      </c>
      <c r="C363" s="101" t="s">
        <v>2</v>
      </c>
      <c r="D363" s="101"/>
      <c r="E363" s="101"/>
      <c r="F363" s="101"/>
      <c r="G363" s="101"/>
      <c r="H363" s="23">
        <f>G356</f>
        <v>348000</v>
      </c>
      <c r="I363" s="14"/>
      <c r="J363" s="24"/>
    </row>
    <row r="364" spans="1:10" x14ac:dyDescent="0.35">
      <c r="B364" s="30" t="s">
        <v>179</v>
      </c>
      <c r="C364" s="102" t="s">
        <v>152</v>
      </c>
      <c r="D364" s="102"/>
      <c r="E364" s="102"/>
      <c r="F364" s="102"/>
      <c r="G364" s="102"/>
      <c r="H364" s="17"/>
      <c r="I364" s="16">
        <f>G356</f>
        <v>348000</v>
      </c>
      <c r="J364" s="27"/>
    </row>
    <row r="366" spans="1:10" x14ac:dyDescent="0.35">
      <c r="A366" s="1" t="s">
        <v>42</v>
      </c>
      <c r="B366" s="105" t="s">
        <v>180</v>
      </c>
      <c r="C366" s="106"/>
      <c r="D366" s="3"/>
      <c r="E366" s="3"/>
      <c r="F366" s="3"/>
      <c r="G366" s="3"/>
      <c r="H366" s="3"/>
      <c r="I366" s="3"/>
      <c r="J366" s="4"/>
    </row>
    <row r="367" spans="1:10" x14ac:dyDescent="0.35">
      <c r="B367" s="30" t="s">
        <v>25</v>
      </c>
      <c r="C367" s="26">
        <v>2200000</v>
      </c>
      <c r="D367" s="103" t="s">
        <v>24</v>
      </c>
      <c r="E367" s="104">
        <f>C367/C368</f>
        <v>37.931034482758619</v>
      </c>
      <c r="F367" s="14"/>
      <c r="G367" s="14"/>
      <c r="H367" s="14"/>
      <c r="I367" s="14"/>
      <c r="J367" s="24"/>
    </row>
    <row r="368" spans="1:10" x14ac:dyDescent="0.35">
      <c r="B368" s="13" t="s">
        <v>26</v>
      </c>
      <c r="C368" s="98">
        <v>58000</v>
      </c>
      <c r="D368" s="103"/>
      <c r="E368" s="104"/>
      <c r="F368" s="14"/>
      <c r="G368" s="14"/>
      <c r="H368" s="14"/>
      <c r="I368" s="14"/>
      <c r="J368" s="24"/>
    </row>
    <row r="369" spans="1:10" x14ac:dyDescent="0.35">
      <c r="B369" s="13"/>
      <c r="C369" s="14"/>
      <c r="D369" s="14"/>
      <c r="E369" s="14"/>
      <c r="F369" s="14"/>
      <c r="G369" s="14"/>
      <c r="H369" s="14"/>
      <c r="I369" s="14"/>
      <c r="J369" s="24"/>
    </row>
    <row r="370" spans="1:10" x14ac:dyDescent="0.35">
      <c r="B370" s="13" t="s">
        <v>224</v>
      </c>
      <c r="C370" s="14"/>
      <c r="D370" s="9">
        <f>(5020-4000)*25</f>
        <v>25500</v>
      </c>
      <c r="E370" s="14" t="s">
        <v>69</v>
      </c>
      <c r="F370" s="14"/>
      <c r="G370" s="14"/>
      <c r="H370" s="14"/>
      <c r="I370" s="14"/>
      <c r="J370" s="24"/>
    </row>
    <row r="371" spans="1:10" x14ac:dyDescent="0.35">
      <c r="B371" s="13"/>
      <c r="C371" s="14"/>
      <c r="D371" s="14"/>
      <c r="E371" s="14"/>
      <c r="F371" s="14"/>
      <c r="G371" s="14"/>
      <c r="H371" s="14"/>
      <c r="I371" s="14"/>
      <c r="J371" s="24"/>
    </row>
    <row r="372" spans="1:10" x14ac:dyDescent="0.35">
      <c r="B372" s="99" t="s">
        <v>181</v>
      </c>
      <c r="C372" s="100"/>
      <c r="D372" s="14"/>
      <c r="E372" s="14"/>
      <c r="F372" s="14"/>
      <c r="G372" s="14"/>
      <c r="H372" s="14"/>
      <c r="I372" s="14"/>
      <c r="J372" s="24"/>
    </row>
    <row r="373" spans="1:10" x14ac:dyDescent="0.35">
      <c r="B373" s="30" t="s">
        <v>225</v>
      </c>
      <c r="C373" s="17"/>
      <c r="D373" s="26">
        <f>(580000-203000)*0.1</f>
        <v>37700</v>
      </c>
      <c r="E373" s="17" t="s">
        <v>194</v>
      </c>
      <c r="F373" s="17"/>
      <c r="G373" s="17"/>
      <c r="H373" s="17"/>
      <c r="I373" s="17"/>
      <c r="J373" s="27"/>
    </row>
    <row r="375" spans="1:10" x14ac:dyDescent="0.35">
      <c r="A375" s="140" t="s">
        <v>226</v>
      </c>
    </row>
    <row r="376" spans="1:10" x14ac:dyDescent="0.35">
      <c r="A376" s="140" t="s">
        <v>142</v>
      </c>
      <c r="B376" s="5" t="s">
        <v>227</v>
      </c>
    </row>
    <row r="377" spans="1:10" x14ac:dyDescent="0.35">
      <c r="A377" s="140" t="s">
        <v>144</v>
      </c>
      <c r="B377" s="5" t="s">
        <v>228</v>
      </c>
    </row>
    <row r="378" spans="1:10" x14ac:dyDescent="0.35">
      <c r="A378" s="140" t="s">
        <v>25</v>
      </c>
      <c r="B378" s="5" t="s">
        <v>229</v>
      </c>
    </row>
    <row r="379" spans="1:10" x14ac:dyDescent="0.35">
      <c r="A379" s="140" t="s">
        <v>42</v>
      </c>
      <c r="B379" s="5" t="s">
        <v>230</v>
      </c>
    </row>
  </sheetData>
  <mergeCells count="196">
    <mergeCell ref="B88:C88"/>
    <mergeCell ref="K2:K3"/>
    <mergeCell ref="K4:K5"/>
    <mergeCell ref="L2:L3"/>
    <mergeCell ref="C28:F28"/>
    <mergeCell ref="J28:M28"/>
    <mergeCell ref="D2:D3"/>
    <mergeCell ref="E2:E3"/>
    <mergeCell ref="F2:F3"/>
    <mergeCell ref="I2:I3"/>
    <mergeCell ref="J2:J3"/>
    <mergeCell ref="C22:G22"/>
    <mergeCell ref="C23:G23"/>
    <mergeCell ref="C24:G24"/>
    <mergeCell ref="C25:G25"/>
    <mergeCell ref="C26:G26"/>
    <mergeCell ref="J60:M60"/>
    <mergeCell ref="C67:F67"/>
    <mergeCell ref="J67:M67"/>
    <mergeCell ref="C75:G75"/>
    <mergeCell ref="C35:F35"/>
    <mergeCell ref="J35:M35"/>
    <mergeCell ref="D46:D47"/>
    <mergeCell ref="E46:E47"/>
    <mergeCell ref="I46:I47"/>
    <mergeCell ref="J46:J47"/>
    <mergeCell ref="F46:F47"/>
    <mergeCell ref="L46:L47"/>
    <mergeCell ref="M46:M47"/>
    <mergeCell ref="C57:G57"/>
    <mergeCell ref="C58:G58"/>
    <mergeCell ref="C73:G73"/>
    <mergeCell ref="C74:G74"/>
    <mergeCell ref="B49:D49"/>
    <mergeCell ref="B50:D50"/>
    <mergeCell ref="B51:D51"/>
    <mergeCell ref="C54:G54"/>
    <mergeCell ref="C55:G55"/>
    <mergeCell ref="C60:F60"/>
    <mergeCell ref="D136:D137"/>
    <mergeCell ref="E136:E137"/>
    <mergeCell ref="F136:F137"/>
    <mergeCell ref="G136:G137"/>
    <mergeCell ref="H136:H137"/>
    <mergeCell ref="C114:G114"/>
    <mergeCell ref="C98:G98"/>
    <mergeCell ref="C99:G99"/>
    <mergeCell ref="B130:C130"/>
    <mergeCell ref="C113:G113"/>
    <mergeCell ref="C181:G181"/>
    <mergeCell ref="C182:G182"/>
    <mergeCell ref="C156:G156"/>
    <mergeCell ref="B172:D172"/>
    <mergeCell ref="B175:D175"/>
    <mergeCell ref="B176:D176"/>
    <mergeCell ref="B177:D177"/>
    <mergeCell ref="B174:C174"/>
    <mergeCell ref="C180:G180"/>
    <mergeCell ref="C161:G161"/>
    <mergeCell ref="B171:D171"/>
    <mergeCell ref="C167:G167"/>
    <mergeCell ref="C150:G150"/>
    <mergeCell ref="C151:G151"/>
    <mergeCell ref="C152:G152"/>
    <mergeCell ref="B159:C159"/>
    <mergeCell ref="B164:C164"/>
    <mergeCell ref="B169:C169"/>
    <mergeCell ref="M80:M81"/>
    <mergeCell ref="C116:F116"/>
    <mergeCell ref="J116:M116"/>
    <mergeCell ref="C123:F123"/>
    <mergeCell ref="J123:M123"/>
    <mergeCell ref="D80:D81"/>
    <mergeCell ref="E80:E81"/>
    <mergeCell ref="F80:F81"/>
    <mergeCell ref="I80:I81"/>
    <mergeCell ref="J80:J81"/>
    <mergeCell ref="L80:L81"/>
    <mergeCell ref="C108:G108"/>
    <mergeCell ref="C109:G109"/>
    <mergeCell ref="C103:G103"/>
    <mergeCell ref="C104:G104"/>
    <mergeCell ref="C97:G97"/>
    <mergeCell ref="I136:I137"/>
    <mergeCell ref="B79:C79"/>
    <mergeCell ref="B91:C91"/>
    <mergeCell ref="B268:F268"/>
    <mergeCell ref="C274:G274"/>
    <mergeCell ref="J193:K193"/>
    <mergeCell ref="J198:K198"/>
    <mergeCell ref="J203:K203"/>
    <mergeCell ref="C272:G272"/>
    <mergeCell ref="C273:G273"/>
    <mergeCell ref="B253:F253"/>
    <mergeCell ref="B254:F254"/>
    <mergeCell ref="B248:F248"/>
    <mergeCell ref="B249:F249"/>
    <mergeCell ref="B230:F230"/>
    <mergeCell ref="B231:F231"/>
    <mergeCell ref="B232:F232"/>
    <mergeCell ref="B135:C135"/>
    <mergeCell ref="B141:C141"/>
    <mergeCell ref="B148:C148"/>
    <mergeCell ref="B154:C154"/>
    <mergeCell ref="B170:D170"/>
    <mergeCell ref="C157:G157"/>
    <mergeCell ref="C162:G162"/>
    <mergeCell ref="C166:G166"/>
    <mergeCell ref="C189:G189"/>
    <mergeCell ref="C190:G190"/>
    <mergeCell ref="C191:G191"/>
    <mergeCell ref="C192:G192"/>
    <mergeCell ref="C193:G193"/>
    <mergeCell ref="C194:G194"/>
    <mergeCell ref="C208:G208"/>
    <mergeCell ref="C209:G209"/>
    <mergeCell ref="C210:G210"/>
    <mergeCell ref="C203:G203"/>
    <mergeCell ref="C204:G204"/>
    <mergeCell ref="C198:G198"/>
    <mergeCell ref="B235:F235"/>
    <mergeCell ref="C226:G226"/>
    <mergeCell ref="C227:G227"/>
    <mergeCell ref="C199:G199"/>
    <mergeCell ref="C211:G211"/>
    <mergeCell ref="C221:G221"/>
    <mergeCell ref="C222:G222"/>
    <mergeCell ref="C215:G215"/>
    <mergeCell ref="C216:G216"/>
    <mergeCell ref="C217:G217"/>
    <mergeCell ref="B263:F263"/>
    <mergeCell ref="B264:F264"/>
    <mergeCell ref="B296:G296"/>
    <mergeCell ref="B289:G289"/>
    <mergeCell ref="B290:G290"/>
    <mergeCell ref="B291:G291"/>
    <mergeCell ref="B292:G292"/>
    <mergeCell ref="B293:G293"/>
    <mergeCell ref="B236:F236"/>
    <mergeCell ref="B237:F237"/>
    <mergeCell ref="C285:G285"/>
    <mergeCell ref="C286:G286"/>
    <mergeCell ref="B288:G288"/>
    <mergeCell ref="B278:E278"/>
    <mergeCell ref="B279:E279"/>
    <mergeCell ref="B280:E280"/>
    <mergeCell ref="B281:E281"/>
    <mergeCell ref="B258:F258"/>
    <mergeCell ref="B259:F259"/>
    <mergeCell ref="C243:G243"/>
    <mergeCell ref="C244:G244"/>
    <mergeCell ref="C331:G331"/>
    <mergeCell ref="C335:G335"/>
    <mergeCell ref="C324:G324"/>
    <mergeCell ref="C326:G326"/>
    <mergeCell ref="C327:G327"/>
    <mergeCell ref="C329:G329"/>
    <mergeCell ref="C330:G330"/>
    <mergeCell ref="C275:G275"/>
    <mergeCell ref="C276:G276"/>
    <mergeCell ref="B328:G328"/>
    <mergeCell ref="B325:G325"/>
    <mergeCell ref="C301:G301"/>
    <mergeCell ref="C302:G302"/>
    <mergeCell ref="C306:G306"/>
    <mergeCell ref="C307:G307"/>
    <mergeCell ref="C308:G308"/>
    <mergeCell ref="C312:G312"/>
    <mergeCell ref="C313:G313"/>
    <mergeCell ref="C317:G317"/>
    <mergeCell ref="C318:G318"/>
    <mergeCell ref="C319:G319"/>
    <mergeCell ref="C323:G323"/>
    <mergeCell ref="B352:C352"/>
    <mergeCell ref="C336:G336"/>
    <mergeCell ref="C338:G338"/>
    <mergeCell ref="C339:G339"/>
    <mergeCell ref="B372:C372"/>
    <mergeCell ref="C359:G359"/>
    <mergeCell ref="C360:G360"/>
    <mergeCell ref="C363:G363"/>
    <mergeCell ref="C364:G364"/>
    <mergeCell ref="D367:D368"/>
    <mergeCell ref="E367:E368"/>
    <mergeCell ref="B366:C366"/>
    <mergeCell ref="B350:E350"/>
    <mergeCell ref="B356:F356"/>
    <mergeCell ref="C353:F353"/>
    <mergeCell ref="C354:F354"/>
    <mergeCell ref="C355:F355"/>
    <mergeCell ref="C342:E342"/>
    <mergeCell ref="C343:E343"/>
    <mergeCell ref="B344:E344"/>
    <mergeCell ref="B341:C341"/>
    <mergeCell ref="B348:E348"/>
    <mergeCell ref="B337:G337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Uitwerking toets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adem doganer</dc:creator>
  <cp:lastModifiedBy>adem doganer</cp:lastModifiedBy>
  <dcterms:created xsi:type="dcterms:W3CDTF">2020-06-02T08:54:42Z</dcterms:created>
  <dcterms:modified xsi:type="dcterms:W3CDTF">2020-07-07T09:07:30Z</dcterms:modified>
</cp:coreProperties>
</file>